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1355" windowHeight="6360" tabRatio="596" firstSheet="3" activeTab="5"/>
  </bookViews>
  <sheets>
    <sheet name="งบดุลบัญชี" sheetId="46" r:id="rId1"/>
    <sheet name="รับ-จ่ายเงิน" sheetId="73" r:id="rId2"/>
    <sheet name="งบทดลอง" sheetId="52" r:id="rId3"/>
    <sheet name="หมายเหตุ1 ประกอบงบ" sheetId="23" r:id="rId4"/>
    <sheet name="หมายเหตุ 2, 3 ประกอบงบ" sheetId="53" r:id="rId5"/>
    <sheet name="กระดาษทำการกระทบยอด" sheetId="50" r:id="rId6"/>
    <sheet name="กระดาษทำการเงินกู้" sheetId="74" r:id="rId7"/>
    <sheet name="โอนงบ" sheetId="75" r:id="rId8"/>
    <sheet name="กระทบยอดเงินสะสม" sheetId="54" r:id="rId9"/>
    <sheet name="แบบแสดงฐานะการคลัง" sheetId="67" r:id="rId10"/>
  </sheets>
  <definedNames>
    <definedName name="_xlnm.Print_Area" localSheetId="5">กระดาษทำการกระทบยอด!$A$1:$Y$590</definedName>
    <definedName name="_xlnm.Print_Area" localSheetId="6">กระดาษทำการเงินกู้!$A$1:$Y$118</definedName>
    <definedName name="_xlnm.Print_Area" localSheetId="8">กระทบยอดเงินสะสม!$A$1:$V$116</definedName>
    <definedName name="_xlnm.Print_Area" localSheetId="0">งบดุลบัญชี!$A$1:$CD$165</definedName>
    <definedName name="_xlnm.Print_Area" localSheetId="2">งบทดลอง!$A$1:$Y$37</definedName>
    <definedName name="_xlnm.Print_Area" localSheetId="9">แบบแสดงฐานะการคลัง!$A$1:$D$51</definedName>
    <definedName name="_xlnm.Print_Area" localSheetId="1">'รับ-จ่ายเงิน'!$A$1:$G$340</definedName>
    <definedName name="_xlnm.Print_Area" localSheetId="4">'หมายเหตุ 2, 3 ประกอบงบ'!$A$1:$F$112</definedName>
    <definedName name="_xlnm.Print_Area" localSheetId="3">'หมายเหตุ1 ประกอบงบ'!$A$1:$T$69</definedName>
    <definedName name="_xlnm.Print_Area" localSheetId="7">โอนงบ!$A$1:$Y$412</definedName>
    <definedName name="_xlnm.Print_Titles" localSheetId="5">กระดาษทำการกระทบยอด!$A:$B,กระดาษทำการกระทบยอด!$473:$475</definedName>
    <definedName name="_xlnm.Print_Titles" localSheetId="6">กระดาษทำการเงินกู้!$A:$B,กระดาษทำการเงินกู้!$1:$3</definedName>
    <definedName name="_xlnm.Print_Titles" localSheetId="0">งบดุลบัญชี!$A:$F,งบดุลบัญชี!$1:$2</definedName>
    <definedName name="_xlnm.Print_Titles" localSheetId="9">แบบแสดงฐานะการคลัง!$4:$5</definedName>
    <definedName name="_xlnm.Print_Titles" localSheetId="1">'รับ-จ่ายเงิน'!$A:$G</definedName>
    <definedName name="_xlnm.Print_Titles" localSheetId="7">โอนงบ!$A:$B,โอนงบ!$316:$320</definedName>
  </definedNames>
  <calcPr calcId="125725"/>
  <fileRecoveryPr autoRecover="0"/>
</workbook>
</file>

<file path=xl/calcChain.xml><?xml version="1.0" encoding="utf-8"?>
<calcChain xmlns="http://schemas.openxmlformats.org/spreadsheetml/2006/main">
  <c r="W118" i="54"/>
  <c r="V115"/>
  <c r="V109"/>
  <c r="V107"/>
  <c r="K109"/>
  <c r="W116" l="1"/>
  <c r="V94"/>
  <c r="D110"/>
  <c r="E110"/>
  <c r="F110"/>
  <c r="G110"/>
  <c r="H110"/>
  <c r="I110"/>
  <c r="J110"/>
  <c r="K110"/>
  <c r="L110"/>
  <c r="M110"/>
  <c r="N110"/>
  <c r="O110"/>
  <c r="P110"/>
  <c r="Q110"/>
  <c r="R110"/>
  <c r="S110"/>
  <c r="T110"/>
  <c r="U110"/>
  <c r="C110"/>
  <c r="U94"/>
  <c r="U115"/>
  <c r="T115"/>
  <c r="S115"/>
  <c r="R115"/>
  <c r="Q115"/>
  <c r="P115"/>
  <c r="O115"/>
  <c r="N115"/>
  <c r="M115"/>
  <c r="L115"/>
  <c r="K115"/>
  <c r="J115"/>
  <c r="I115"/>
  <c r="H115"/>
  <c r="G115"/>
  <c r="F115"/>
  <c r="E115"/>
  <c r="D115"/>
  <c r="C115"/>
  <c r="V114"/>
  <c r="U114"/>
  <c r="T114"/>
  <c r="T116" s="1"/>
  <c r="S114"/>
  <c r="S116" s="1"/>
  <c r="R114"/>
  <c r="R116" s="1"/>
  <c r="Q114"/>
  <c r="Q116" s="1"/>
  <c r="P114"/>
  <c r="P116" s="1"/>
  <c r="O114"/>
  <c r="O116" s="1"/>
  <c r="N114"/>
  <c r="N116" s="1"/>
  <c r="M114"/>
  <c r="M116" s="1"/>
  <c r="L114"/>
  <c r="L116" s="1"/>
  <c r="K114"/>
  <c r="K116" s="1"/>
  <c r="J114"/>
  <c r="J116" s="1"/>
  <c r="I114"/>
  <c r="I116" s="1"/>
  <c r="H114"/>
  <c r="H116" s="1"/>
  <c r="G114"/>
  <c r="G116" s="1"/>
  <c r="F114"/>
  <c r="F116" s="1"/>
  <c r="E114"/>
  <c r="E116" s="1"/>
  <c r="D114"/>
  <c r="D116" s="1"/>
  <c r="C114"/>
  <c r="C116" s="1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C112"/>
  <c r="V110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E108"/>
  <c r="D108"/>
  <c r="C108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C106"/>
  <c r="U104"/>
  <c r="T104"/>
  <c r="S104"/>
  <c r="R104"/>
  <c r="Q104"/>
  <c r="P104"/>
  <c r="O104"/>
  <c r="N104"/>
  <c r="M104"/>
  <c r="L104"/>
  <c r="K104"/>
  <c r="J104"/>
  <c r="I104"/>
  <c r="H104"/>
  <c r="G104"/>
  <c r="F104"/>
  <c r="E104"/>
  <c r="D104"/>
  <c r="C104"/>
  <c r="V103"/>
  <c r="V104" s="1"/>
  <c r="U102"/>
  <c r="T102"/>
  <c r="S102"/>
  <c r="R102"/>
  <c r="Q102"/>
  <c r="P102"/>
  <c r="O102"/>
  <c r="N102"/>
  <c r="M102"/>
  <c r="L102"/>
  <c r="K102"/>
  <c r="J102"/>
  <c r="I102"/>
  <c r="H102"/>
  <c r="G102"/>
  <c r="F102"/>
  <c r="E102"/>
  <c r="D102"/>
  <c r="C102"/>
  <c r="V101"/>
  <c r="V102" s="1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C100"/>
  <c r="V98"/>
  <c r="U98"/>
  <c r="T98"/>
  <c r="S98"/>
  <c r="R98"/>
  <c r="Q98"/>
  <c r="P98"/>
  <c r="O98"/>
  <c r="N98"/>
  <c r="M98"/>
  <c r="L98"/>
  <c r="K98"/>
  <c r="J98"/>
  <c r="I98"/>
  <c r="H98"/>
  <c r="G98"/>
  <c r="F98"/>
  <c r="E98"/>
  <c r="D98"/>
  <c r="C98"/>
  <c r="U96"/>
  <c r="T96"/>
  <c r="S96"/>
  <c r="R96"/>
  <c r="Q96"/>
  <c r="P96"/>
  <c r="O96"/>
  <c r="N96"/>
  <c r="M96"/>
  <c r="L96"/>
  <c r="K96"/>
  <c r="J96"/>
  <c r="I96"/>
  <c r="H96"/>
  <c r="G96"/>
  <c r="F96"/>
  <c r="E96"/>
  <c r="D96"/>
  <c r="C96"/>
  <c r="V95"/>
  <c r="V96" s="1"/>
  <c r="T94"/>
  <c r="S94"/>
  <c r="R94"/>
  <c r="Q94"/>
  <c r="P94"/>
  <c r="O94"/>
  <c r="N94"/>
  <c r="M94"/>
  <c r="L94"/>
  <c r="K94"/>
  <c r="J94"/>
  <c r="I94"/>
  <c r="H94"/>
  <c r="G94"/>
  <c r="F94"/>
  <c r="E94"/>
  <c r="D94"/>
  <c r="C94"/>
  <c r="V93"/>
  <c r="Y412" i="75"/>
  <c r="Y411"/>
  <c r="Y410"/>
  <c r="Y409"/>
  <c r="Y408"/>
  <c r="Y407"/>
  <c r="Y406"/>
  <c r="Y405"/>
  <c r="Y404"/>
  <c r="Y403"/>
  <c r="Y402"/>
  <c r="Y399"/>
  <c r="Y398"/>
  <c r="Y397"/>
  <c r="Y396"/>
  <c r="Y395"/>
  <c r="Y394"/>
  <c r="Y393"/>
  <c r="Y392"/>
  <c r="Y391"/>
  <c r="Y390"/>
  <c r="Y389"/>
  <c r="Y388"/>
  <c r="Y387"/>
  <c r="Y386"/>
  <c r="Y385"/>
  <c r="Y384"/>
  <c r="Y383"/>
  <c r="Y382"/>
  <c r="Y381"/>
  <c r="Y380"/>
  <c r="Y379"/>
  <c r="Y378"/>
  <c r="Y377"/>
  <c r="Y376"/>
  <c r="Y375"/>
  <c r="Y374"/>
  <c r="Y371"/>
  <c r="Y370"/>
  <c r="Y369"/>
  <c r="Y368"/>
  <c r="Y367"/>
  <c r="Y366"/>
  <c r="Y365"/>
  <c r="Y364"/>
  <c r="Y363"/>
  <c r="Y362"/>
  <c r="Y361"/>
  <c r="Y360"/>
  <c r="Y359"/>
  <c r="Y358"/>
  <c r="Y357"/>
  <c r="Y356"/>
  <c r="Y355"/>
  <c r="Y354"/>
  <c r="Y353"/>
  <c r="Y352"/>
  <c r="Y351"/>
  <c r="Y350"/>
  <c r="Y349"/>
  <c r="Y348"/>
  <c r="Y345"/>
  <c r="Y344"/>
  <c r="Y343"/>
  <c r="Y342"/>
  <c r="Y341"/>
  <c r="Y340"/>
  <c r="Y339"/>
  <c r="Y338"/>
  <c r="Y337"/>
  <c r="Y336"/>
  <c r="Y335"/>
  <c r="Y334"/>
  <c r="Y333"/>
  <c r="Y332"/>
  <c r="Y331"/>
  <c r="Y330"/>
  <c r="Y329"/>
  <c r="Y328"/>
  <c r="Y327"/>
  <c r="Y326"/>
  <c r="Y325"/>
  <c r="Y324"/>
  <c r="P316"/>
  <c r="Y592" i="50"/>
  <c r="Y591"/>
  <c r="U116" i="54" l="1"/>
  <c r="V116"/>
  <c r="Y490" i="50"/>
  <c r="C524"/>
  <c r="W532"/>
  <c r="C547"/>
  <c r="Z587"/>
  <c r="Z525"/>
  <c r="X481"/>
  <c r="W547"/>
  <c r="Q523"/>
  <c r="N521"/>
  <c r="H523"/>
  <c r="G521"/>
  <c r="F523"/>
  <c r="C530"/>
  <c r="C528"/>
  <c r="C523"/>
  <c r="C521"/>
  <c r="Z590"/>
  <c r="X587"/>
  <c r="X588" s="1"/>
  <c r="W587"/>
  <c r="W588" s="1"/>
  <c r="V587"/>
  <c r="V588" s="1"/>
  <c r="U587"/>
  <c r="U588" s="1"/>
  <c r="T587"/>
  <c r="T588" s="1"/>
  <c r="S587"/>
  <c r="S588" s="1"/>
  <c r="R587"/>
  <c r="R588" s="1"/>
  <c r="Q587"/>
  <c r="Q588" s="1"/>
  <c r="P587"/>
  <c r="P588" s="1"/>
  <c r="O587"/>
  <c r="O588" s="1"/>
  <c r="N587"/>
  <c r="N588" s="1"/>
  <c r="M587"/>
  <c r="M588" s="1"/>
  <c r="L587"/>
  <c r="L588" s="1"/>
  <c r="K587"/>
  <c r="K588" s="1"/>
  <c r="J587"/>
  <c r="J588" s="1"/>
  <c r="I587"/>
  <c r="I588" s="1"/>
  <c r="H587"/>
  <c r="H588" s="1"/>
  <c r="G587"/>
  <c r="G588" s="1"/>
  <c r="F587"/>
  <c r="F588" s="1"/>
  <c r="E587"/>
  <c r="E588" s="1"/>
  <c r="D587"/>
  <c r="D588" s="1"/>
  <c r="C587"/>
  <c r="C588" s="1"/>
  <c r="Y586"/>
  <c r="Y585"/>
  <c r="Y584"/>
  <c r="Y583"/>
  <c r="Y582"/>
  <c r="X580"/>
  <c r="X581" s="1"/>
  <c r="W580"/>
  <c r="W581" s="1"/>
  <c r="V580"/>
  <c r="V581" s="1"/>
  <c r="U580"/>
  <c r="U581" s="1"/>
  <c r="T580"/>
  <c r="T581" s="1"/>
  <c r="S580"/>
  <c r="S581" s="1"/>
  <c r="R580"/>
  <c r="R581" s="1"/>
  <c r="Q580"/>
  <c r="Q581" s="1"/>
  <c r="P580"/>
  <c r="P581" s="1"/>
  <c r="O580"/>
  <c r="O581" s="1"/>
  <c r="N580"/>
  <c r="N581" s="1"/>
  <c r="M580"/>
  <c r="M581" s="1"/>
  <c r="L580"/>
  <c r="L581" s="1"/>
  <c r="K580"/>
  <c r="K581" s="1"/>
  <c r="J580"/>
  <c r="J581" s="1"/>
  <c r="I580"/>
  <c r="I581" s="1"/>
  <c r="H580"/>
  <c r="H581" s="1"/>
  <c r="G580"/>
  <c r="G581" s="1"/>
  <c r="F580"/>
  <c r="F581" s="1"/>
  <c r="E580"/>
  <c r="E581" s="1"/>
  <c r="D580"/>
  <c r="D581" s="1"/>
  <c r="C580"/>
  <c r="Y580" s="1"/>
  <c r="Y581" s="1"/>
  <c r="Y579"/>
  <c r="Y578"/>
  <c r="X576"/>
  <c r="X577" s="1"/>
  <c r="W576"/>
  <c r="W577" s="1"/>
  <c r="V576"/>
  <c r="V577" s="1"/>
  <c r="U576"/>
  <c r="U577" s="1"/>
  <c r="T576"/>
  <c r="T577" s="1"/>
  <c r="S576"/>
  <c r="S577" s="1"/>
  <c r="R576"/>
  <c r="R577" s="1"/>
  <c r="Q576"/>
  <c r="Q577" s="1"/>
  <c r="P576"/>
  <c r="P577" s="1"/>
  <c r="O576"/>
  <c r="O577" s="1"/>
  <c r="N576"/>
  <c r="N577" s="1"/>
  <c r="M576"/>
  <c r="M577" s="1"/>
  <c r="L576"/>
  <c r="L577" s="1"/>
  <c r="K576"/>
  <c r="K577" s="1"/>
  <c r="J576"/>
  <c r="J577" s="1"/>
  <c r="I576"/>
  <c r="I577" s="1"/>
  <c r="H576"/>
  <c r="H577" s="1"/>
  <c r="G576"/>
  <c r="G577" s="1"/>
  <c r="F576"/>
  <c r="F577" s="1"/>
  <c r="E576"/>
  <c r="E577" s="1"/>
  <c r="D576"/>
  <c r="D577" s="1"/>
  <c r="C576"/>
  <c r="Y575"/>
  <c r="Y574"/>
  <c r="Y573"/>
  <c r="Y572"/>
  <c r="X568"/>
  <c r="X569" s="1"/>
  <c r="W568"/>
  <c r="W569" s="1"/>
  <c r="V568"/>
  <c r="V569" s="1"/>
  <c r="U568"/>
  <c r="U569" s="1"/>
  <c r="T568"/>
  <c r="T569" s="1"/>
  <c r="S568"/>
  <c r="S569" s="1"/>
  <c r="R568"/>
  <c r="R569" s="1"/>
  <c r="Q568"/>
  <c r="Q569" s="1"/>
  <c r="P568"/>
  <c r="P569" s="1"/>
  <c r="O568"/>
  <c r="O569" s="1"/>
  <c r="N568"/>
  <c r="N569" s="1"/>
  <c r="M568"/>
  <c r="M569" s="1"/>
  <c r="L568"/>
  <c r="L569" s="1"/>
  <c r="K568"/>
  <c r="K569" s="1"/>
  <c r="J568"/>
  <c r="J569" s="1"/>
  <c r="I568"/>
  <c r="I569" s="1"/>
  <c r="H568"/>
  <c r="H569" s="1"/>
  <c r="G568"/>
  <c r="G569" s="1"/>
  <c r="F568"/>
  <c r="F569" s="1"/>
  <c r="E568"/>
  <c r="E569" s="1"/>
  <c r="D568"/>
  <c r="D569" s="1"/>
  <c r="C568"/>
  <c r="Y567"/>
  <c r="Y566"/>
  <c r="Y565"/>
  <c r="Y564"/>
  <c r="Y563"/>
  <c r="Y562"/>
  <c r="Y561"/>
  <c r="Y560"/>
  <c r="Y559"/>
  <c r="Y558"/>
  <c r="Y557"/>
  <c r="Y556"/>
  <c r="Y555"/>
  <c r="Y554"/>
  <c r="Y553"/>
  <c r="X551"/>
  <c r="X552" s="1"/>
  <c r="W551"/>
  <c r="W552" s="1"/>
  <c r="V551"/>
  <c r="V552" s="1"/>
  <c r="U551"/>
  <c r="U552" s="1"/>
  <c r="T551"/>
  <c r="T552" s="1"/>
  <c r="S551"/>
  <c r="S552" s="1"/>
  <c r="R551"/>
  <c r="R552" s="1"/>
  <c r="Q551"/>
  <c r="Q552" s="1"/>
  <c r="P551"/>
  <c r="P552" s="1"/>
  <c r="O551"/>
  <c r="O552" s="1"/>
  <c r="N551"/>
  <c r="N552" s="1"/>
  <c r="M551"/>
  <c r="M552" s="1"/>
  <c r="L551"/>
  <c r="L552" s="1"/>
  <c r="K551"/>
  <c r="K552" s="1"/>
  <c r="J551"/>
  <c r="J552" s="1"/>
  <c r="I551"/>
  <c r="I552" s="1"/>
  <c r="H551"/>
  <c r="H552" s="1"/>
  <c r="G551"/>
  <c r="G552" s="1"/>
  <c r="F551"/>
  <c r="F552" s="1"/>
  <c r="E551"/>
  <c r="E552" s="1"/>
  <c r="D551"/>
  <c r="D552" s="1"/>
  <c r="Y550"/>
  <c r="Y549"/>
  <c r="Y548"/>
  <c r="C551"/>
  <c r="C552" s="1"/>
  <c r="Y547"/>
  <c r="Y546"/>
  <c r="X544"/>
  <c r="X545" s="1"/>
  <c r="W544"/>
  <c r="W545" s="1"/>
  <c r="V544"/>
  <c r="V545" s="1"/>
  <c r="U544"/>
  <c r="U545" s="1"/>
  <c r="T544"/>
  <c r="T545" s="1"/>
  <c r="S544"/>
  <c r="S545" s="1"/>
  <c r="R544"/>
  <c r="R545" s="1"/>
  <c r="Q544"/>
  <c r="Q545" s="1"/>
  <c r="P544"/>
  <c r="P545" s="1"/>
  <c r="O544"/>
  <c r="O545" s="1"/>
  <c r="N544"/>
  <c r="N545" s="1"/>
  <c r="M544"/>
  <c r="M545" s="1"/>
  <c r="L544"/>
  <c r="L545" s="1"/>
  <c r="K544"/>
  <c r="K545" s="1"/>
  <c r="J544"/>
  <c r="J545" s="1"/>
  <c r="I544"/>
  <c r="I545" s="1"/>
  <c r="H544"/>
  <c r="H545" s="1"/>
  <c r="G544"/>
  <c r="G545" s="1"/>
  <c r="F544"/>
  <c r="F545" s="1"/>
  <c r="E544"/>
  <c r="E545" s="1"/>
  <c r="D544"/>
  <c r="D545" s="1"/>
  <c r="C544"/>
  <c r="C545" s="1"/>
  <c r="Y543"/>
  <c r="Y542"/>
  <c r="Y541"/>
  <c r="Y540"/>
  <c r="Y539"/>
  <c r="Y538"/>
  <c r="Y535"/>
  <c r="Y534"/>
  <c r="Y533"/>
  <c r="Y532"/>
  <c r="Y531"/>
  <c r="Y530"/>
  <c r="Y529"/>
  <c r="Y528"/>
  <c r="Y544" s="1"/>
  <c r="Y545" s="1"/>
  <c r="Z545" s="1"/>
  <c r="Y527"/>
  <c r="X525"/>
  <c r="X526" s="1"/>
  <c r="W525"/>
  <c r="W526" s="1"/>
  <c r="V525"/>
  <c r="V526" s="1"/>
  <c r="U525"/>
  <c r="U526" s="1"/>
  <c r="T525"/>
  <c r="T526" s="1"/>
  <c r="R525"/>
  <c r="R526" s="1"/>
  <c r="Q525"/>
  <c r="Q526" s="1"/>
  <c r="P525"/>
  <c r="P526" s="1"/>
  <c r="O525"/>
  <c r="O526" s="1"/>
  <c r="M525"/>
  <c r="M526" s="1"/>
  <c r="L525"/>
  <c r="L526" s="1"/>
  <c r="K525"/>
  <c r="K526" s="1"/>
  <c r="J525"/>
  <c r="J526" s="1"/>
  <c r="I525"/>
  <c r="I526" s="1"/>
  <c r="H525"/>
  <c r="H526" s="1"/>
  <c r="E525"/>
  <c r="E526" s="1"/>
  <c r="D525"/>
  <c r="D526" s="1"/>
  <c r="Y524"/>
  <c r="S525"/>
  <c r="S526" s="1"/>
  <c r="F525"/>
  <c r="F526" s="1"/>
  <c r="Y523"/>
  <c r="Y522"/>
  <c r="N525"/>
  <c r="N526" s="1"/>
  <c r="Y521"/>
  <c r="C525"/>
  <c r="C526" s="1"/>
  <c r="Y520"/>
  <c r="X518"/>
  <c r="X519" s="1"/>
  <c r="W518"/>
  <c r="W519" s="1"/>
  <c r="V518"/>
  <c r="V519" s="1"/>
  <c r="U518"/>
  <c r="U519" s="1"/>
  <c r="T518"/>
  <c r="T519" s="1"/>
  <c r="S518"/>
  <c r="S519" s="1"/>
  <c r="R518"/>
  <c r="R519" s="1"/>
  <c r="Q518"/>
  <c r="Q519" s="1"/>
  <c r="P518"/>
  <c r="P519" s="1"/>
  <c r="O518"/>
  <c r="O519" s="1"/>
  <c r="N518"/>
  <c r="N519" s="1"/>
  <c r="M518"/>
  <c r="M519" s="1"/>
  <c r="L518"/>
  <c r="L519" s="1"/>
  <c r="K518"/>
  <c r="K519" s="1"/>
  <c r="J518"/>
  <c r="J519" s="1"/>
  <c r="I518"/>
  <c r="I519" s="1"/>
  <c r="H518"/>
  <c r="H519" s="1"/>
  <c r="G518"/>
  <c r="G519" s="1"/>
  <c r="F518"/>
  <c r="F519" s="1"/>
  <c r="E518"/>
  <c r="E519" s="1"/>
  <c r="D518"/>
  <c r="D519" s="1"/>
  <c r="C518"/>
  <c r="Y517"/>
  <c r="Y516"/>
  <c r="Y515"/>
  <c r="Y514"/>
  <c r="Y513"/>
  <c r="Y512"/>
  <c r="Y511"/>
  <c r="X509"/>
  <c r="X510" s="1"/>
  <c r="W509"/>
  <c r="W510" s="1"/>
  <c r="V509"/>
  <c r="V510" s="1"/>
  <c r="U509"/>
  <c r="U510" s="1"/>
  <c r="T509"/>
  <c r="T510" s="1"/>
  <c r="S509"/>
  <c r="S510" s="1"/>
  <c r="R509"/>
  <c r="R510" s="1"/>
  <c r="Q509"/>
  <c r="Q510" s="1"/>
  <c r="P509"/>
  <c r="P510" s="1"/>
  <c r="O509"/>
  <c r="O510" s="1"/>
  <c r="N509"/>
  <c r="N510" s="1"/>
  <c r="M509"/>
  <c r="M510" s="1"/>
  <c r="L509"/>
  <c r="L510" s="1"/>
  <c r="K509"/>
  <c r="K510" s="1"/>
  <c r="J509"/>
  <c r="J510" s="1"/>
  <c r="I509"/>
  <c r="I510" s="1"/>
  <c r="H509"/>
  <c r="H510" s="1"/>
  <c r="G509"/>
  <c r="G510" s="1"/>
  <c r="F509"/>
  <c r="F510" s="1"/>
  <c r="E509"/>
  <c r="E510" s="1"/>
  <c r="D509"/>
  <c r="D510" s="1"/>
  <c r="C509"/>
  <c r="C510" s="1"/>
  <c r="Y508"/>
  <c r="Y507"/>
  <c r="Y504"/>
  <c r="Y503"/>
  <c r="Y502"/>
  <c r="Y501"/>
  <c r="Y500"/>
  <c r="Y499"/>
  <c r="X497"/>
  <c r="X498" s="1"/>
  <c r="W497"/>
  <c r="W498" s="1"/>
  <c r="V497"/>
  <c r="V498" s="1"/>
  <c r="U497"/>
  <c r="U498" s="1"/>
  <c r="T497"/>
  <c r="T498" s="1"/>
  <c r="S497"/>
  <c r="S498" s="1"/>
  <c r="R497"/>
  <c r="R498" s="1"/>
  <c r="Q497"/>
  <c r="Q498" s="1"/>
  <c r="P497"/>
  <c r="P498" s="1"/>
  <c r="O497"/>
  <c r="O498" s="1"/>
  <c r="N497"/>
  <c r="N498" s="1"/>
  <c r="M497"/>
  <c r="M498" s="1"/>
  <c r="L497"/>
  <c r="L498" s="1"/>
  <c r="K497"/>
  <c r="K498" s="1"/>
  <c r="J497"/>
  <c r="J498" s="1"/>
  <c r="I497"/>
  <c r="I498" s="1"/>
  <c r="H497"/>
  <c r="H498" s="1"/>
  <c r="G497"/>
  <c r="G498" s="1"/>
  <c r="F497"/>
  <c r="F498" s="1"/>
  <c r="E497"/>
  <c r="E498" s="1"/>
  <c r="D497"/>
  <c r="D498" s="1"/>
  <c r="C497"/>
  <c r="C498" s="1"/>
  <c r="Y496"/>
  <c r="Y495"/>
  <c r="Y494"/>
  <c r="Y493"/>
  <c r="Y492"/>
  <c r="Y491"/>
  <c r="W489"/>
  <c r="W589" s="1"/>
  <c r="V489"/>
  <c r="V589" s="1"/>
  <c r="U489"/>
  <c r="U589" s="1"/>
  <c r="T489"/>
  <c r="T589" s="1"/>
  <c r="S489"/>
  <c r="S589" s="1"/>
  <c r="R489"/>
  <c r="R589" s="1"/>
  <c r="Q489"/>
  <c r="Q589" s="1"/>
  <c r="P489"/>
  <c r="P589" s="1"/>
  <c r="O489"/>
  <c r="O589" s="1"/>
  <c r="N489"/>
  <c r="N589" s="1"/>
  <c r="M489"/>
  <c r="M589" s="1"/>
  <c r="L489"/>
  <c r="L589" s="1"/>
  <c r="K489"/>
  <c r="K589" s="1"/>
  <c r="J489"/>
  <c r="J589" s="1"/>
  <c r="I489"/>
  <c r="I589" s="1"/>
  <c r="H489"/>
  <c r="H589" s="1"/>
  <c r="G489"/>
  <c r="F489"/>
  <c r="F589" s="1"/>
  <c r="E489"/>
  <c r="E589" s="1"/>
  <c r="D489"/>
  <c r="D589" s="1"/>
  <c r="C489"/>
  <c r="Y488"/>
  <c r="Y487"/>
  <c r="Y486"/>
  <c r="Y485"/>
  <c r="Y484"/>
  <c r="Y483"/>
  <c r="Y482"/>
  <c r="Y481"/>
  <c r="X489"/>
  <c r="Y480"/>
  <c r="Y479"/>
  <c r="P473"/>
  <c r="F112" i="53"/>
  <c r="F100"/>
  <c r="T67" i="23"/>
  <c r="S67"/>
  <c r="T59"/>
  <c r="S59"/>
  <c r="T55"/>
  <c r="S55"/>
  <c r="T40"/>
  <c r="S40"/>
  <c r="T37"/>
  <c r="S37"/>
  <c r="T33"/>
  <c r="S33"/>
  <c r="S30"/>
  <c r="T27"/>
  <c r="T30" s="1"/>
  <c r="T25"/>
  <c r="S25"/>
  <c r="T11"/>
  <c r="S11"/>
  <c r="S60" s="1"/>
  <c r="S68" s="1"/>
  <c r="X26" i="52"/>
  <c r="X24"/>
  <c r="X31"/>
  <c r="X30"/>
  <c r="X29"/>
  <c r="X28"/>
  <c r="X27"/>
  <c r="X25"/>
  <c r="Y23"/>
  <c r="Y21"/>
  <c r="Y20"/>
  <c r="Y19"/>
  <c r="Y17"/>
  <c r="X16"/>
  <c r="X15"/>
  <c r="X14"/>
  <c r="X13"/>
  <c r="X12"/>
  <c r="X11"/>
  <c r="X10"/>
  <c r="X9"/>
  <c r="X8"/>
  <c r="X7"/>
  <c r="X6"/>
  <c r="X5"/>
  <c r="X33"/>
  <c r="C336" i="73"/>
  <c r="B336"/>
  <c r="G301"/>
  <c r="D301"/>
  <c r="G283"/>
  <c r="D283"/>
  <c r="G272"/>
  <c r="A313"/>
  <c r="H342"/>
  <c r="D335"/>
  <c r="D327"/>
  <c r="D328"/>
  <c r="D329"/>
  <c r="D330"/>
  <c r="D331"/>
  <c r="D332"/>
  <c r="D333"/>
  <c r="D334"/>
  <c r="D326"/>
  <c r="D310"/>
  <c r="D311"/>
  <c r="D312"/>
  <c r="D313"/>
  <c r="D314"/>
  <c r="D315"/>
  <c r="D316"/>
  <c r="D317"/>
  <c r="D320" s="1"/>
  <c r="D336" s="1"/>
  <c r="D318"/>
  <c r="D319"/>
  <c r="D309"/>
  <c r="D297"/>
  <c r="D296"/>
  <c r="D295"/>
  <c r="D292"/>
  <c r="D293"/>
  <c r="D294"/>
  <c r="D291"/>
  <c r="D285"/>
  <c r="D286"/>
  <c r="D287"/>
  <c r="D288"/>
  <c r="D289"/>
  <c r="D290"/>
  <c r="D284"/>
  <c r="D282"/>
  <c r="D275"/>
  <c r="D276"/>
  <c r="D277"/>
  <c r="D278"/>
  <c r="D279"/>
  <c r="D280"/>
  <c r="D281"/>
  <c r="D274"/>
  <c r="D325"/>
  <c r="H341"/>
  <c r="H340"/>
  <c r="G278"/>
  <c r="G321"/>
  <c r="G284"/>
  <c r="G313"/>
  <c r="G291"/>
  <c r="G325"/>
  <c r="D298"/>
  <c r="D324"/>
  <c r="D323"/>
  <c r="D322"/>
  <c r="E321"/>
  <c r="D321"/>
  <c r="B321"/>
  <c r="G320"/>
  <c r="G336" s="1"/>
  <c r="B320"/>
  <c r="A319"/>
  <c r="C319" s="1"/>
  <c r="C318"/>
  <c r="A318"/>
  <c r="A317"/>
  <c r="C317" s="1"/>
  <c r="C316"/>
  <c r="A316"/>
  <c r="A315"/>
  <c r="C315" s="1"/>
  <c r="C314"/>
  <c r="A314"/>
  <c r="C313"/>
  <c r="C312"/>
  <c r="A312"/>
  <c r="A311"/>
  <c r="A320" s="1"/>
  <c r="A336" s="1"/>
  <c r="C310"/>
  <c r="C309"/>
  <c r="D299"/>
  <c r="A283"/>
  <c r="A301" s="1"/>
  <c r="B282"/>
  <c r="B283" s="1"/>
  <c r="B301" s="1"/>
  <c r="C281"/>
  <c r="C280"/>
  <c r="C279"/>
  <c r="C278"/>
  <c r="C277"/>
  <c r="C276"/>
  <c r="C275"/>
  <c r="C274"/>
  <c r="C283" s="1"/>
  <c r="C301" s="1"/>
  <c r="CD35" i="46"/>
  <c r="BZ35"/>
  <c r="BN35"/>
  <c r="AP35"/>
  <c r="AJ32"/>
  <c r="AJ41"/>
  <c r="AJ55"/>
  <c r="AJ59"/>
  <c r="AJ73"/>
  <c r="AJ77"/>
  <c r="AJ79"/>
  <c r="AJ86"/>
  <c r="AJ97"/>
  <c r="AJ99"/>
  <c r="AJ103"/>
  <c r="AI120"/>
  <c r="AI144"/>
  <c r="AI158"/>
  <c r="AI159"/>
  <c r="AG133"/>
  <c r="AH18"/>
  <c r="AG38"/>
  <c r="AH22"/>
  <c r="AG9"/>
  <c r="AG7"/>
  <c r="AE123"/>
  <c r="G339" i="73" l="1"/>
  <c r="G340"/>
  <c r="H343" s="1"/>
  <c r="Z544" i="50"/>
  <c r="Y551"/>
  <c r="C589"/>
  <c r="Y509"/>
  <c r="Y510" s="1"/>
  <c r="Y587"/>
  <c r="Y588" s="1"/>
  <c r="Y576"/>
  <c r="Y577" s="1"/>
  <c r="Y568"/>
  <c r="Y569" s="1"/>
  <c r="Y518"/>
  <c r="Y519" s="1"/>
  <c r="Y525"/>
  <c r="X589"/>
  <c r="X490"/>
  <c r="X590" s="1"/>
  <c r="Y489"/>
  <c r="D490"/>
  <c r="D590" s="1"/>
  <c r="F490"/>
  <c r="F590" s="1"/>
  <c r="H490"/>
  <c r="H590" s="1"/>
  <c r="J490"/>
  <c r="J590" s="1"/>
  <c r="L490"/>
  <c r="L590" s="1"/>
  <c r="N490"/>
  <c r="N590" s="1"/>
  <c r="P490"/>
  <c r="P590" s="1"/>
  <c r="R490"/>
  <c r="R590" s="1"/>
  <c r="T490"/>
  <c r="T590" s="1"/>
  <c r="V490"/>
  <c r="V590" s="1"/>
  <c r="Y497"/>
  <c r="Y498" s="1"/>
  <c r="C519"/>
  <c r="G525"/>
  <c r="G526" s="1"/>
  <c r="C569"/>
  <c r="C577"/>
  <c r="C581"/>
  <c r="C490"/>
  <c r="E490"/>
  <c r="E590" s="1"/>
  <c r="G490"/>
  <c r="G590" s="1"/>
  <c r="I490"/>
  <c r="I590" s="1"/>
  <c r="K490"/>
  <c r="K590" s="1"/>
  <c r="M490"/>
  <c r="M590" s="1"/>
  <c r="O490"/>
  <c r="O590" s="1"/>
  <c r="Q490"/>
  <c r="Q590" s="1"/>
  <c r="S490"/>
  <c r="S590" s="1"/>
  <c r="U490"/>
  <c r="U590" s="1"/>
  <c r="W490"/>
  <c r="W590" s="1"/>
  <c r="T60" i="23"/>
  <c r="T68" s="1"/>
  <c r="D340" i="73"/>
  <c r="D339"/>
  <c r="C311"/>
  <c r="C320" s="1"/>
  <c r="Y526" i="50" l="1"/>
  <c r="Z526" s="1"/>
  <c r="AA525"/>
  <c r="Y552"/>
  <c r="Z552" s="1"/>
  <c r="Z551"/>
  <c r="C590"/>
  <c r="Y590" s="1"/>
  <c r="G589"/>
  <c r="Y589" s="1"/>
  <c r="A245" i="73"/>
  <c r="A241"/>
  <c r="A240"/>
  <c r="G218"/>
  <c r="Z56" i="46" l="1"/>
  <c r="G403" i="50" l="1"/>
  <c r="S405"/>
  <c r="F405"/>
  <c r="X371"/>
  <c r="G248" i="73"/>
  <c r="Y120" i="46"/>
  <c r="Y123"/>
  <c r="F89" i="53"/>
  <c r="F77"/>
  <c r="F75"/>
  <c r="B248" i="73"/>
  <c r="B261" s="1"/>
  <c r="B211"/>
  <c r="D260"/>
  <c r="D259"/>
  <c r="D258"/>
  <c r="D257"/>
  <c r="D256"/>
  <c r="D253"/>
  <c r="D252"/>
  <c r="D251"/>
  <c r="D249"/>
  <c r="D248"/>
  <c r="G247"/>
  <c r="G261" s="1"/>
  <c r="H266"/>
  <c r="H265"/>
  <c r="H267" s="1"/>
  <c r="D218"/>
  <c r="D225"/>
  <c r="D223"/>
  <c r="D214"/>
  <c r="AP41" i="46"/>
  <c r="AV41" s="1"/>
  <c r="BB41" s="1"/>
  <c r="BH41" s="1"/>
  <c r="BN41" s="1"/>
  <c r="BT41" s="1"/>
  <c r="BZ41" s="1"/>
  <c r="CD41" s="1"/>
  <c r="AD41"/>
  <c r="Z98"/>
  <c r="AA9" l="1"/>
  <c r="N403" i="50"/>
  <c r="H466"/>
  <c r="C432"/>
  <c r="C430"/>
  <c r="C405"/>
  <c r="C403"/>
  <c r="X363"/>
  <c r="Z472"/>
  <c r="Y315" i="75"/>
  <c r="Y314"/>
  <c r="Y313"/>
  <c r="Y312"/>
  <c r="Y311"/>
  <c r="Y310"/>
  <c r="Y309"/>
  <c r="Y308"/>
  <c r="Y307"/>
  <c r="Y306"/>
  <c r="Y305"/>
  <c r="Y302"/>
  <c r="Y301"/>
  <c r="Y300"/>
  <c r="Y299"/>
  <c r="Y298"/>
  <c r="Y297"/>
  <c r="Y296"/>
  <c r="Y295"/>
  <c r="Y294"/>
  <c r="Y293"/>
  <c r="Y292"/>
  <c r="Y291"/>
  <c r="Y290"/>
  <c r="Y289"/>
  <c r="Y288"/>
  <c r="Y287"/>
  <c r="Y286"/>
  <c r="Y285"/>
  <c r="Y284"/>
  <c r="Y283"/>
  <c r="Y282"/>
  <c r="Y281"/>
  <c r="Y280"/>
  <c r="Y279"/>
  <c r="Y278"/>
  <c r="Y277"/>
  <c r="Y274"/>
  <c r="Y273"/>
  <c r="Y272"/>
  <c r="Y271"/>
  <c r="Y270"/>
  <c r="Y269"/>
  <c r="Y268"/>
  <c r="Y267"/>
  <c r="Y266"/>
  <c r="Y265"/>
  <c r="Y264"/>
  <c r="Y263"/>
  <c r="Y262"/>
  <c r="Y261"/>
  <c r="Y260"/>
  <c r="Y259"/>
  <c r="Y258"/>
  <c r="Y257"/>
  <c r="Y256"/>
  <c r="Y255"/>
  <c r="Y254"/>
  <c r="Y253"/>
  <c r="Y252"/>
  <c r="Y251"/>
  <c r="Y248"/>
  <c r="Y247"/>
  <c r="Y246"/>
  <c r="Y245"/>
  <c r="Y244"/>
  <c r="Y243"/>
  <c r="Y242"/>
  <c r="Y241"/>
  <c r="Y240"/>
  <c r="Y239"/>
  <c r="Y238"/>
  <c r="Y237"/>
  <c r="Y236"/>
  <c r="Y235"/>
  <c r="Y234"/>
  <c r="Y233"/>
  <c r="Y232"/>
  <c r="Y231"/>
  <c r="Y230"/>
  <c r="Y229"/>
  <c r="Y228"/>
  <c r="Y227"/>
  <c r="P219"/>
  <c r="X469" i="50"/>
  <c r="X470" s="1"/>
  <c r="W469"/>
  <c r="W470" s="1"/>
  <c r="V469"/>
  <c r="V470" s="1"/>
  <c r="U469"/>
  <c r="U470" s="1"/>
  <c r="T469"/>
  <c r="T470" s="1"/>
  <c r="S469"/>
  <c r="S470" s="1"/>
  <c r="R469"/>
  <c r="R470" s="1"/>
  <c r="Q469"/>
  <c r="Q470" s="1"/>
  <c r="P469"/>
  <c r="P470" s="1"/>
  <c r="O469"/>
  <c r="O470" s="1"/>
  <c r="N469"/>
  <c r="N470" s="1"/>
  <c r="M469"/>
  <c r="M470" s="1"/>
  <c r="L469"/>
  <c r="L470" s="1"/>
  <c r="K469"/>
  <c r="K470" s="1"/>
  <c r="J469"/>
  <c r="J470" s="1"/>
  <c r="I469"/>
  <c r="I470" s="1"/>
  <c r="H469"/>
  <c r="H470" s="1"/>
  <c r="G469"/>
  <c r="G470" s="1"/>
  <c r="F469"/>
  <c r="F470" s="1"/>
  <c r="E469"/>
  <c r="E470" s="1"/>
  <c r="D469"/>
  <c r="D470" s="1"/>
  <c r="C469"/>
  <c r="C470" s="1"/>
  <c r="Y468"/>
  <c r="Y467"/>
  <c r="Y466"/>
  <c r="Y465"/>
  <c r="Y464"/>
  <c r="X462"/>
  <c r="X463" s="1"/>
  <c r="W462"/>
  <c r="W463" s="1"/>
  <c r="V462"/>
  <c r="V463" s="1"/>
  <c r="U462"/>
  <c r="U463" s="1"/>
  <c r="T462"/>
  <c r="T463" s="1"/>
  <c r="S462"/>
  <c r="S463" s="1"/>
  <c r="R462"/>
  <c r="R463" s="1"/>
  <c r="Q462"/>
  <c r="Q463" s="1"/>
  <c r="P462"/>
  <c r="P463" s="1"/>
  <c r="O462"/>
  <c r="O463" s="1"/>
  <c r="N462"/>
  <c r="N463" s="1"/>
  <c r="M462"/>
  <c r="M463" s="1"/>
  <c r="L462"/>
  <c r="L463" s="1"/>
  <c r="K462"/>
  <c r="K463" s="1"/>
  <c r="J462"/>
  <c r="J463" s="1"/>
  <c r="I462"/>
  <c r="I463" s="1"/>
  <c r="H462"/>
  <c r="H463" s="1"/>
  <c r="G462"/>
  <c r="G463" s="1"/>
  <c r="F462"/>
  <c r="F463" s="1"/>
  <c r="E462"/>
  <c r="E463" s="1"/>
  <c r="D462"/>
  <c r="D463" s="1"/>
  <c r="C462"/>
  <c r="C463" s="1"/>
  <c r="Y461"/>
  <c r="Y460"/>
  <c r="X458"/>
  <c r="X459" s="1"/>
  <c r="W458"/>
  <c r="W459" s="1"/>
  <c r="V458"/>
  <c r="V459" s="1"/>
  <c r="U458"/>
  <c r="U459" s="1"/>
  <c r="T458"/>
  <c r="T459" s="1"/>
  <c r="S458"/>
  <c r="S459" s="1"/>
  <c r="R458"/>
  <c r="R459" s="1"/>
  <c r="Q458"/>
  <c r="Q459" s="1"/>
  <c r="P458"/>
  <c r="P459" s="1"/>
  <c r="O458"/>
  <c r="O459" s="1"/>
  <c r="N458"/>
  <c r="N459" s="1"/>
  <c r="M458"/>
  <c r="M459" s="1"/>
  <c r="L458"/>
  <c r="L459" s="1"/>
  <c r="K458"/>
  <c r="K459" s="1"/>
  <c r="J458"/>
  <c r="J459" s="1"/>
  <c r="I458"/>
  <c r="I459" s="1"/>
  <c r="H458"/>
  <c r="H459" s="1"/>
  <c r="G458"/>
  <c r="G459" s="1"/>
  <c r="F458"/>
  <c r="F459" s="1"/>
  <c r="E458"/>
  <c r="E459" s="1"/>
  <c r="D458"/>
  <c r="D459" s="1"/>
  <c r="C458"/>
  <c r="C459" s="1"/>
  <c r="Y457"/>
  <c r="Y456"/>
  <c r="Y455"/>
  <c r="Y454"/>
  <c r="X450"/>
  <c r="X451" s="1"/>
  <c r="W450"/>
  <c r="W451" s="1"/>
  <c r="V450"/>
  <c r="V451" s="1"/>
  <c r="U450"/>
  <c r="U451" s="1"/>
  <c r="T450"/>
  <c r="T451" s="1"/>
  <c r="S450"/>
  <c r="S451" s="1"/>
  <c r="R450"/>
  <c r="R451" s="1"/>
  <c r="Q450"/>
  <c r="Q451" s="1"/>
  <c r="P450"/>
  <c r="P451" s="1"/>
  <c r="O450"/>
  <c r="O451" s="1"/>
  <c r="N450"/>
  <c r="N451" s="1"/>
  <c r="M450"/>
  <c r="M451" s="1"/>
  <c r="L450"/>
  <c r="L451" s="1"/>
  <c r="K450"/>
  <c r="K451" s="1"/>
  <c r="J450"/>
  <c r="J451" s="1"/>
  <c r="I450"/>
  <c r="I451" s="1"/>
  <c r="H450"/>
  <c r="H451" s="1"/>
  <c r="G450"/>
  <c r="G451" s="1"/>
  <c r="F450"/>
  <c r="F451" s="1"/>
  <c r="E450"/>
  <c r="E451" s="1"/>
  <c r="D450"/>
  <c r="D451" s="1"/>
  <c r="C450"/>
  <c r="C451" s="1"/>
  <c r="Y449"/>
  <c r="Y448"/>
  <c r="Y447"/>
  <c r="Y446"/>
  <c r="Y445"/>
  <c r="Y444"/>
  <c r="Y443"/>
  <c r="Y442"/>
  <c r="Y441"/>
  <c r="Y440"/>
  <c r="Y439"/>
  <c r="Y438"/>
  <c r="Y437"/>
  <c r="Y436"/>
  <c r="Y435"/>
  <c r="X433"/>
  <c r="X434" s="1"/>
  <c r="W433"/>
  <c r="W434" s="1"/>
  <c r="V433"/>
  <c r="V434" s="1"/>
  <c r="U433"/>
  <c r="U434" s="1"/>
  <c r="T433"/>
  <c r="T434" s="1"/>
  <c r="S433"/>
  <c r="S434" s="1"/>
  <c r="R433"/>
  <c r="R434" s="1"/>
  <c r="Q433"/>
  <c r="Q434" s="1"/>
  <c r="P433"/>
  <c r="P434" s="1"/>
  <c r="O433"/>
  <c r="O434" s="1"/>
  <c r="N433"/>
  <c r="N434" s="1"/>
  <c r="M433"/>
  <c r="M434" s="1"/>
  <c r="L433"/>
  <c r="L434" s="1"/>
  <c r="K433"/>
  <c r="K434" s="1"/>
  <c r="J433"/>
  <c r="J434" s="1"/>
  <c r="I433"/>
  <c r="I434" s="1"/>
  <c r="H433"/>
  <c r="H434" s="1"/>
  <c r="G433"/>
  <c r="G434" s="1"/>
  <c r="F433"/>
  <c r="F434" s="1"/>
  <c r="E433"/>
  <c r="E434" s="1"/>
  <c r="D433"/>
  <c r="D434" s="1"/>
  <c r="C433"/>
  <c r="C434" s="1"/>
  <c r="Y432"/>
  <c r="Y431"/>
  <c r="Y430"/>
  <c r="Y429"/>
  <c r="Y433" s="1"/>
  <c r="Y434" s="1"/>
  <c r="Y428"/>
  <c r="X426"/>
  <c r="X427" s="1"/>
  <c r="W426"/>
  <c r="W427" s="1"/>
  <c r="V426"/>
  <c r="V427" s="1"/>
  <c r="U426"/>
  <c r="U427" s="1"/>
  <c r="T426"/>
  <c r="T427" s="1"/>
  <c r="S426"/>
  <c r="S427" s="1"/>
  <c r="R426"/>
  <c r="R427" s="1"/>
  <c r="Q426"/>
  <c r="Q427" s="1"/>
  <c r="P426"/>
  <c r="P427" s="1"/>
  <c r="O426"/>
  <c r="O427" s="1"/>
  <c r="N426"/>
  <c r="N427" s="1"/>
  <c r="M426"/>
  <c r="M427" s="1"/>
  <c r="L426"/>
  <c r="L427" s="1"/>
  <c r="K426"/>
  <c r="K427" s="1"/>
  <c r="J426"/>
  <c r="J427" s="1"/>
  <c r="I426"/>
  <c r="I427" s="1"/>
  <c r="H426"/>
  <c r="H427" s="1"/>
  <c r="G426"/>
  <c r="G427" s="1"/>
  <c r="F426"/>
  <c r="F427" s="1"/>
  <c r="E426"/>
  <c r="E427" s="1"/>
  <c r="D426"/>
  <c r="D427" s="1"/>
  <c r="Y425"/>
  <c r="Y424"/>
  <c r="Y423"/>
  <c r="Y422"/>
  <c r="Y421"/>
  <c r="Y420"/>
  <c r="Y417"/>
  <c r="Y416"/>
  <c r="Y415"/>
  <c r="Y414"/>
  <c r="Y413"/>
  <c r="Y412"/>
  <c r="C426"/>
  <c r="C427" s="1"/>
  <c r="Y411"/>
  <c r="Y410"/>
  <c r="Y409"/>
  <c r="X407"/>
  <c r="X408" s="1"/>
  <c r="W407"/>
  <c r="W408" s="1"/>
  <c r="V407"/>
  <c r="V408" s="1"/>
  <c r="U407"/>
  <c r="U408" s="1"/>
  <c r="T407"/>
  <c r="T408" s="1"/>
  <c r="S407"/>
  <c r="S408" s="1"/>
  <c r="R407"/>
  <c r="R408" s="1"/>
  <c r="P407"/>
  <c r="P408" s="1"/>
  <c r="O407"/>
  <c r="O408" s="1"/>
  <c r="M407"/>
  <c r="M408" s="1"/>
  <c r="L407"/>
  <c r="L408" s="1"/>
  <c r="K407"/>
  <c r="K408" s="1"/>
  <c r="J407"/>
  <c r="J408" s="1"/>
  <c r="I407"/>
  <c r="I408" s="1"/>
  <c r="H407"/>
  <c r="H408" s="1"/>
  <c r="E407"/>
  <c r="E408" s="1"/>
  <c r="D407"/>
  <c r="D408" s="1"/>
  <c r="Y406"/>
  <c r="Q407"/>
  <c r="Q408" s="1"/>
  <c r="F407"/>
  <c r="F408" s="1"/>
  <c r="Y405"/>
  <c r="Y404"/>
  <c r="N407"/>
  <c r="N408" s="1"/>
  <c r="G407"/>
  <c r="G408" s="1"/>
  <c r="C407"/>
  <c r="C408" s="1"/>
  <c r="Y402"/>
  <c r="X400"/>
  <c r="X401" s="1"/>
  <c r="W400"/>
  <c r="W401" s="1"/>
  <c r="V400"/>
  <c r="V401" s="1"/>
  <c r="U400"/>
  <c r="U401" s="1"/>
  <c r="T400"/>
  <c r="T401" s="1"/>
  <c r="S400"/>
  <c r="S401" s="1"/>
  <c r="R400"/>
  <c r="R401" s="1"/>
  <c r="Q400"/>
  <c r="Q401" s="1"/>
  <c r="P400"/>
  <c r="P401" s="1"/>
  <c r="O400"/>
  <c r="O401" s="1"/>
  <c r="N400"/>
  <c r="N401" s="1"/>
  <c r="M400"/>
  <c r="M401" s="1"/>
  <c r="L400"/>
  <c r="L401" s="1"/>
  <c r="K400"/>
  <c r="K401" s="1"/>
  <c r="J400"/>
  <c r="J401" s="1"/>
  <c r="I400"/>
  <c r="I401" s="1"/>
  <c r="H400"/>
  <c r="H401" s="1"/>
  <c r="G400"/>
  <c r="G401" s="1"/>
  <c r="F400"/>
  <c r="F401" s="1"/>
  <c r="E400"/>
  <c r="E401" s="1"/>
  <c r="D400"/>
  <c r="D401" s="1"/>
  <c r="C400"/>
  <c r="C401" s="1"/>
  <c r="Y399"/>
  <c r="Y398"/>
  <c r="Y397"/>
  <c r="Y396"/>
  <c r="Y395"/>
  <c r="Y394"/>
  <c r="Y393"/>
  <c r="X391"/>
  <c r="X392" s="1"/>
  <c r="W391"/>
  <c r="W392" s="1"/>
  <c r="V391"/>
  <c r="V392" s="1"/>
  <c r="U391"/>
  <c r="U392" s="1"/>
  <c r="T391"/>
  <c r="T392" s="1"/>
  <c r="S391"/>
  <c r="S392" s="1"/>
  <c r="R391"/>
  <c r="R392" s="1"/>
  <c r="Q391"/>
  <c r="Q392" s="1"/>
  <c r="P391"/>
  <c r="P392" s="1"/>
  <c r="O391"/>
  <c r="O392" s="1"/>
  <c r="N391"/>
  <c r="N392" s="1"/>
  <c r="M391"/>
  <c r="M392" s="1"/>
  <c r="L391"/>
  <c r="L392" s="1"/>
  <c r="K391"/>
  <c r="K392" s="1"/>
  <c r="J391"/>
  <c r="J392" s="1"/>
  <c r="I391"/>
  <c r="I392" s="1"/>
  <c r="H391"/>
  <c r="H392" s="1"/>
  <c r="G391"/>
  <c r="G392" s="1"/>
  <c r="F391"/>
  <c r="F392" s="1"/>
  <c r="E391"/>
  <c r="E392" s="1"/>
  <c r="D391"/>
  <c r="D392" s="1"/>
  <c r="C391"/>
  <c r="C392" s="1"/>
  <c r="Y390"/>
  <c r="Y389"/>
  <c r="Y386"/>
  <c r="Y385"/>
  <c r="Y384"/>
  <c r="Y383"/>
  <c r="Y382"/>
  <c r="Y381"/>
  <c r="X379"/>
  <c r="X380" s="1"/>
  <c r="W379"/>
  <c r="W380" s="1"/>
  <c r="V379"/>
  <c r="V380" s="1"/>
  <c r="U379"/>
  <c r="U380" s="1"/>
  <c r="T379"/>
  <c r="T380" s="1"/>
  <c r="S379"/>
  <c r="S380" s="1"/>
  <c r="R379"/>
  <c r="R380" s="1"/>
  <c r="Q379"/>
  <c r="Q380" s="1"/>
  <c r="P379"/>
  <c r="P380" s="1"/>
  <c r="O379"/>
  <c r="O380" s="1"/>
  <c r="N379"/>
  <c r="N380" s="1"/>
  <c r="M379"/>
  <c r="M380" s="1"/>
  <c r="L379"/>
  <c r="L380" s="1"/>
  <c r="K379"/>
  <c r="K380" s="1"/>
  <c r="J379"/>
  <c r="J380" s="1"/>
  <c r="I379"/>
  <c r="I380" s="1"/>
  <c r="H379"/>
  <c r="H380" s="1"/>
  <c r="G379"/>
  <c r="G380" s="1"/>
  <c r="F379"/>
  <c r="F380" s="1"/>
  <c r="E379"/>
  <c r="E380" s="1"/>
  <c r="D379"/>
  <c r="D380" s="1"/>
  <c r="C379"/>
  <c r="Y379" s="1"/>
  <c r="Y380" s="1"/>
  <c r="Y378"/>
  <c r="Y377"/>
  <c r="Y376"/>
  <c r="Y375"/>
  <c r="Y374"/>
  <c r="Y373"/>
  <c r="W371"/>
  <c r="W471" s="1"/>
  <c r="V371"/>
  <c r="V372" s="1"/>
  <c r="V472" s="1"/>
  <c r="U371"/>
  <c r="U471" s="1"/>
  <c r="T371"/>
  <c r="T372" s="1"/>
  <c r="T472" s="1"/>
  <c r="S371"/>
  <c r="S471" s="1"/>
  <c r="R371"/>
  <c r="R372" s="1"/>
  <c r="R472" s="1"/>
  <c r="Q371"/>
  <c r="Q471" s="1"/>
  <c r="P371"/>
  <c r="P372" s="1"/>
  <c r="P472" s="1"/>
  <c r="O371"/>
  <c r="O471" s="1"/>
  <c r="N371"/>
  <c r="N372" s="1"/>
  <c r="N472" s="1"/>
  <c r="M371"/>
  <c r="M471" s="1"/>
  <c r="L371"/>
  <c r="L372" s="1"/>
  <c r="L472" s="1"/>
  <c r="K371"/>
  <c r="K471" s="1"/>
  <c r="J371"/>
  <c r="J372" s="1"/>
  <c r="J472" s="1"/>
  <c r="I371"/>
  <c r="I471" s="1"/>
  <c r="H371"/>
  <c r="H372" s="1"/>
  <c r="H472" s="1"/>
  <c r="G371"/>
  <c r="G471" s="1"/>
  <c r="F371"/>
  <c r="F372" s="1"/>
  <c r="F472" s="1"/>
  <c r="E371"/>
  <c r="E471" s="1"/>
  <c r="D371"/>
  <c r="D372" s="1"/>
  <c r="C371"/>
  <c r="C471" s="1"/>
  <c r="Y370"/>
  <c r="Y369"/>
  <c r="Y368"/>
  <c r="Y367"/>
  <c r="Y366"/>
  <c r="Y365"/>
  <c r="Y364"/>
  <c r="Y363"/>
  <c r="Y362"/>
  <c r="Y361"/>
  <c r="P355"/>
  <c r="O67" i="23"/>
  <c r="P67"/>
  <c r="P59"/>
  <c r="O59"/>
  <c r="P55"/>
  <c r="O55"/>
  <c r="P40"/>
  <c r="O40"/>
  <c r="P37"/>
  <c r="O37"/>
  <c r="P33"/>
  <c r="O33"/>
  <c r="O30"/>
  <c r="P27"/>
  <c r="P30" s="1"/>
  <c r="O25"/>
  <c r="P25"/>
  <c r="O11"/>
  <c r="O60" s="1"/>
  <c r="O68" s="1"/>
  <c r="T23" i="52"/>
  <c r="T22"/>
  <c r="T21"/>
  <c r="T20"/>
  <c r="S16"/>
  <c r="S15"/>
  <c r="S14"/>
  <c r="S13"/>
  <c r="S11"/>
  <c r="S9"/>
  <c r="S8"/>
  <c r="D250" i="73"/>
  <c r="D254"/>
  <c r="D255"/>
  <c r="D237"/>
  <c r="D238"/>
  <c r="D239"/>
  <c r="D240"/>
  <c r="D241"/>
  <c r="D242"/>
  <c r="D243"/>
  <c r="D244"/>
  <c r="D245"/>
  <c r="D246"/>
  <c r="D236"/>
  <c r="D215"/>
  <c r="D216"/>
  <c r="D217"/>
  <c r="D219"/>
  <c r="D220"/>
  <c r="D221"/>
  <c r="D222"/>
  <c r="D224"/>
  <c r="D226"/>
  <c r="D213"/>
  <c r="D204"/>
  <c r="D205"/>
  <c r="D206"/>
  <c r="D207"/>
  <c r="D208"/>
  <c r="D209"/>
  <c r="D210"/>
  <c r="D211"/>
  <c r="D203"/>
  <c r="G201"/>
  <c r="E248"/>
  <c r="B247"/>
  <c r="A246"/>
  <c r="C246" s="1"/>
  <c r="C245"/>
  <c r="C244"/>
  <c r="A244"/>
  <c r="A243"/>
  <c r="C243" s="1"/>
  <c r="C242"/>
  <c r="A242"/>
  <c r="C241"/>
  <c r="C240"/>
  <c r="C239"/>
  <c r="A239"/>
  <c r="A238"/>
  <c r="A247" s="1"/>
  <c r="C237"/>
  <c r="D247"/>
  <c r="D261" s="1"/>
  <c r="C236"/>
  <c r="G212"/>
  <c r="A212"/>
  <c r="A228" s="1"/>
  <c r="B212"/>
  <c r="B228" s="1"/>
  <c r="C210"/>
  <c r="C209"/>
  <c r="C208"/>
  <c r="C207"/>
  <c r="C206"/>
  <c r="C205"/>
  <c r="C204"/>
  <c r="D212"/>
  <c r="C203"/>
  <c r="C212" s="1"/>
  <c r="C228" s="1"/>
  <c r="AI122" i="46"/>
  <c r="AO122" s="1"/>
  <c r="AU122" s="1"/>
  <c r="BA122" s="1"/>
  <c r="BG122" s="1"/>
  <c r="BM122" s="1"/>
  <c r="BS122" s="1"/>
  <c r="BY122" s="1"/>
  <c r="CC122" s="1"/>
  <c r="BT35"/>
  <c r="BN45"/>
  <c r="BH35"/>
  <c r="BH45"/>
  <c r="BB45"/>
  <c r="AV45"/>
  <c r="AP45"/>
  <c r="AJ25"/>
  <c r="AJ102"/>
  <c r="AJ35"/>
  <c r="AJ46"/>
  <c r="AP46" s="1"/>
  <c r="AV46" s="1"/>
  <c r="BB46" s="1"/>
  <c r="BH46" s="1"/>
  <c r="BN46" s="1"/>
  <c r="BT46" s="1"/>
  <c r="BZ46" s="1"/>
  <c r="AJ45"/>
  <c r="AC122"/>
  <c r="AD109"/>
  <c r="AD110"/>
  <c r="AD111"/>
  <c r="AD112"/>
  <c r="AD113"/>
  <c r="AD106"/>
  <c r="AD107"/>
  <c r="AD108"/>
  <c r="AD105"/>
  <c r="AD99"/>
  <c r="AD83"/>
  <c r="AD49"/>
  <c r="AD48"/>
  <c r="AD47"/>
  <c r="AD45"/>
  <c r="AD44"/>
  <c r="AD43"/>
  <c r="AD40"/>
  <c r="AD39"/>
  <c r="AD38"/>
  <c r="AD37"/>
  <c r="AD36"/>
  <c r="AD35"/>
  <c r="AD34"/>
  <c r="AD33"/>
  <c r="AD28"/>
  <c r="AD27"/>
  <c r="T18" i="52" s="1"/>
  <c r="AC24" i="46"/>
  <c r="AC23"/>
  <c r="AC22"/>
  <c r="AC21"/>
  <c r="AC20"/>
  <c r="S12" i="52" s="1"/>
  <c r="AC19" i="46"/>
  <c r="AC18"/>
  <c r="S10" i="52" s="1"/>
  <c r="AC17" i="46"/>
  <c r="AD67"/>
  <c r="AD66"/>
  <c r="AD65"/>
  <c r="AD64"/>
  <c r="AD63"/>
  <c r="AD62"/>
  <c r="AD61"/>
  <c r="AD78"/>
  <c r="AD77" s="1"/>
  <c r="AD82"/>
  <c r="AD81"/>
  <c r="AD80"/>
  <c r="AD84"/>
  <c r="AC158"/>
  <c r="AC159"/>
  <c r="AD102"/>
  <c r="AD72"/>
  <c r="AJ72" s="1"/>
  <c r="AP72" s="1"/>
  <c r="AV72" s="1"/>
  <c r="BB72" s="1"/>
  <c r="BH72" s="1"/>
  <c r="BN72" s="1"/>
  <c r="BT72" s="1"/>
  <c r="BZ72" s="1"/>
  <c r="CD72" s="1"/>
  <c r="AD46"/>
  <c r="D190" i="73"/>
  <c r="D180"/>
  <c r="X52" i="46"/>
  <c r="W167"/>
  <c r="H110" i="73"/>
  <c r="H100"/>
  <c r="H101"/>
  <c r="H102"/>
  <c r="H103"/>
  <c r="H104"/>
  <c r="H105"/>
  <c r="H106"/>
  <c r="H107"/>
  <c r="H108"/>
  <c r="H109"/>
  <c r="H99"/>
  <c r="A110"/>
  <c r="A109"/>
  <c r="A107"/>
  <c r="A106"/>
  <c r="A105"/>
  <c r="A104"/>
  <c r="A103"/>
  <c r="A102"/>
  <c r="A101"/>
  <c r="A261" l="1"/>
  <c r="H247"/>
  <c r="G228"/>
  <c r="G265" s="1"/>
  <c r="D228"/>
  <c r="D265" s="1"/>
  <c r="AD103" i="46"/>
  <c r="AD79"/>
  <c r="AD32"/>
  <c r="T19" i="52" s="1"/>
  <c r="Y469" i="50"/>
  <c r="Y470" s="1"/>
  <c r="D472"/>
  <c r="Y391"/>
  <c r="Y392" s="1"/>
  <c r="Y426"/>
  <c r="Y427" s="1"/>
  <c r="C372"/>
  <c r="E372"/>
  <c r="E472" s="1"/>
  <c r="G372"/>
  <c r="G472" s="1"/>
  <c r="I372"/>
  <c r="I472" s="1"/>
  <c r="K372"/>
  <c r="K472" s="1"/>
  <c r="M372"/>
  <c r="M472" s="1"/>
  <c r="O372"/>
  <c r="O472" s="1"/>
  <c r="Q372"/>
  <c r="Q472" s="1"/>
  <c r="S372"/>
  <c r="S472" s="1"/>
  <c r="U372"/>
  <c r="U472" s="1"/>
  <c r="W372"/>
  <c r="W472" s="1"/>
  <c r="C380"/>
  <c r="Y400"/>
  <c r="Y401" s="1"/>
  <c r="Y403"/>
  <c r="Y450"/>
  <c r="Y451" s="1"/>
  <c r="Y458"/>
  <c r="Y459" s="1"/>
  <c r="Y462"/>
  <c r="Y463" s="1"/>
  <c r="D471"/>
  <c r="F471"/>
  <c r="H471"/>
  <c r="J471"/>
  <c r="L471"/>
  <c r="N471"/>
  <c r="P471"/>
  <c r="R471"/>
  <c r="T471"/>
  <c r="V471"/>
  <c r="Y371"/>
  <c r="Y372" s="1"/>
  <c r="D264" i="73"/>
  <c r="C238"/>
  <c r="C247" s="1"/>
  <c r="C261" s="1"/>
  <c r="H176"/>
  <c r="G146"/>
  <c r="G169"/>
  <c r="G177"/>
  <c r="D146"/>
  <c r="A172"/>
  <c r="A168"/>
  <c r="H166"/>
  <c r="H167"/>
  <c r="H168"/>
  <c r="H170"/>
  <c r="H171"/>
  <c r="H172"/>
  <c r="H173"/>
  <c r="H174"/>
  <c r="H175"/>
  <c r="H165"/>
  <c r="U86" i="54"/>
  <c r="T86"/>
  <c r="S86"/>
  <c r="R86"/>
  <c r="Q86"/>
  <c r="P86"/>
  <c r="O86"/>
  <c r="N86"/>
  <c r="M86"/>
  <c r="K86"/>
  <c r="J86"/>
  <c r="I86"/>
  <c r="H86"/>
  <c r="G86"/>
  <c r="F86"/>
  <c r="E86"/>
  <c r="D86"/>
  <c r="C86"/>
  <c r="V85"/>
  <c r="U85"/>
  <c r="T85"/>
  <c r="S85"/>
  <c r="S87" s="1"/>
  <c r="R85"/>
  <c r="R87" s="1"/>
  <c r="Q85"/>
  <c r="Q87" s="1"/>
  <c r="P85"/>
  <c r="P87" s="1"/>
  <c r="O85"/>
  <c r="O87" s="1"/>
  <c r="N85"/>
  <c r="N87" s="1"/>
  <c r="M85"/>
  <c r="M87" s="1"/>
  <c r="L85"/>
  <c r="K85"/>
  <c r="K87" s="1"/>
  <c r="J85"/>
  <c r="J87" s="1"/>
  <c r="I85"/>
  <c r="I87" s="1"/>
  <c r="H85"/>
  <c r="H87" s="1"/>
  <c r="G85"/>
  <c r="G87" s="1"/>
  <c r="F85"/>
  <c r="F87" s="1"/>
  <c r="E85"/>
  <c r="E87" s="1"/>
  <c r="D85"/>
  <c r="D87" s="1"/>
  <c r="C85"/>
  <c r="C87" s="1"/>
  <c r="V83"/>
  <c r="U83"/>
  <c r="T83"/>
  <c r="S83"/>
  <c r="R83"/>
  <c r="Q83"/>
  <c r="P83"/>
  <c r="O83"/>
  <c r="N83"/>
  <c r="M83"/>
  <c r="L83"/>
  <c r="K83"/>
  <c r="J83"/>
  <c r="I83"/>
  <c r="H83"/>
  <c r="G83"/>
  <c r="F83"/>
  <c r="E83"/>
  <c r="D83"/>
  <c r="C83"/>
  <c r="U81"/>
  <c r="T81"/>
  <c r="S81"/>
  <c r="R81"/>
  <c r="Q81"/>
  <c r="P81"/>
  <c r="O81"/>
  <c r="N81"/>
  <c r="M81"/>
  <c r="K81"/>
  <c r="J81"/>
  <c r="I81"/>
  <c r="H81"/>
  <c r="G81"/>
  <c r="F81"/>
  <c r="E81"/>
  <c r="D81"/>
  <c r="C81"/>
  <c r="L86"/>
  <c r="V79"/>
  <c r="U79"/>
  <c r="T79"/>
  <c r="S79"/>
  <c r="R79"/>
  <c r="Q79"/>
  <c r="P79"/>
  <c r="O79"/>
  <c r="N79"/>
  <c r="M79"/>
  <c r="L79"/>
  <c r="K79"/>
  <c r="J79"/>
  <c r="I79"/>
  <c r="H79"/>
  <c r="G79"/>
  <c r="F79"/>
  <c r="E79"/>
  <c r="D79"/>
  <c r="C79"/>
  <c r="V77"/>
  <c r="U77"/>
  <c r="T77"/>
  <c r="S77"/>
  <c r="R77"/>
  <c r="Q77"/>
  <c r="P77"/>
  <c r="O77"/>
  <c r="N77"/>
  <c r="M77"/>
  <c r="L77"/>
  <c r="K77"/>
  <c r="J77"/>
  <c r="I77"/>
  <c r="H77"/>
  <c r="G77"/>
  <c r="F77"/>
  <c r="E77"/>
  <c r="D77"/>
  <c r="C77"/>
  <c r="U75"/>
  <c r="T75"/>
  <c r="S75"/>
  <c r="R75"/>
  <c r="Q75"/>
  <c r="P75"/>
  <c r="O75"/>
  <c r="N75"/>
  <c r="M75"/>
  <c r="L75"/>
  <c r="K75"/>
  <c r="J75"/>
  <c r="I75"/>
  <c r="H75"/>
  <c r="G75"/>
  <c r="F75"/>
  <c r="E75"/>
  <c r="D75"/>
  <c r="C75"/>
  <c r="V74"/>
  <c r="V75" s="1"/>
  <c r="U73"/>
  <c r="T73"/>
  <c r="S73"/>
  <c r="R73"/>
  <c r="Q73"/>
  <c r="P73"/>
  <c r="O73"/>
  <c r="N73"/>
  <c r="M73"/>
  <c r="L73"/>
  <c r="K73"/>
  <c r="J73"/>
  <c r="I73"/>
  <c r="H73"/>
  <c r="G73"/>
  <c r="F73"/>
  <c r="E73"/>
  <c r="D73"/>
  <c r="C73"/>
  <c r="V72"/>
  <c r="V73" s="1"/>
  <c r="V71"/>
  <c r="U71"/>
  <c r="T71"/>
  <c r="S71"/>
  <c r="R71"/>
  <c r="Q71"/>
  <c r="P71"/>
  <c r="O71"/>
  <c r="N71"/>
  <c r="M71"/>
  <c r="L71"/>
  <c r="K71"/>
  <c r="J71"/>
  <c r="I71"/>
  <c r="H71"/>
  <c r="G71"/>
  <c r="F71"/>
  <c r="E71"/>
  <c r="D71"/>
  <c r="C71"/>
  <c r="V69"/>
  <c r="U69"/>
  <c r="T69"/>
  <c r="S69"/>
  <c r="R69"/>
  <c r="Q69"/>
  <c r="P69"/>
  <c r="O69"/>
  <c r="N69"/>
  <c r="M69"/>
  <c r="L69"/>
  <c r="K69"/>
  <c r="J69"/>
  <c r="I69"/>
  <c r="H69"/>
  <c r="G69"/>
  <c r="F69"/>
  <c r="E69"/>
  <c r="D69"/>
  <c r="C69"/>
  <c r="U67"/>
  <c r="T67"/>
  <c r="S67"/>
  <c r="R67"/>
  <c r="Q67"/>
  <c r="P67"/>
  <c r="O67"/>
  <c r="N67"/>
  <c r="M67"/>
  <c r="L67"/>
  <c r="K67"/>
  <c r="J67"/>
  <c r="I67"/>
  <c r="H67"/>
  <c r="G67"/>
  <c r="F67"/>
  <c r="E67"/>
  <c r="D67"/>
  <c r="C67"/>
  <c r="V66"/>
  <c r="V67" s="1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C65"/>
  <c r="V64"/>
  <c r="V65" s="1"/>
  <c r="Y253" i="50"/>
  <c r="Y254" s="1"/>
  <c r="Z254" s="1"/>
  <c r="X254"/>
  <c r="T261"/>
  <c r="T332"/>
  <c r="Z355"/>
  <c r="X253"/>
  <c r="F65" i="53"/>
  <c r="F54"/>
  <c r="F52"/>
  <c r="K67" i="23"/>
  <c r="L64"/>
  <c r="L67" s="1"/>
  <c r="L59"/>
  <c r="K59"/>
  <c r="L55"/>
  <c r="K55"/>
  <c r="L40"/>
  <c r="K40"/>
  <c r="L37"/>
  <c r="K37"/>
  <c r="L33"/>
  <c r="K33"/>
  <c r="K30"/>
  <c r="L29"/>
  <c r="L28"/>
  <c r="L27"/>
  <c r="L30" s="1"/>
  <c r="K25"/>
  <c r="L13"/>
  <c r="L25" s="1"/>
  <c r="K11"/>
  <c r="K60" s="1"/>
  <c r="K68" s="1"/>
  <c r="L9"/>
  <c r="N26" i="52"/>
  <c r="N24"/>
  <c r="N34"/>
  <c r="N33"/>
  <c r="N32"/>
  <c r="N31"/>
  <c r="N30"/>
  <c r="N29"/>
  <c r="N28"/>
  <c r="N27"/>
  <c r="N25"/>
  <c r="O23"/>
  <c r="O21"/>
  <c r="O20"/>
  <c r="O19"/>
  <c r="O18"/>
  <c r="O17"/>
  <c r="N16"/>
  <c r="N15"/>
  <c r="N14"/>
  <c r="N13"/>
  <c r="N12"/>
  <c r="N11"/>
  <c r="N10"/>
  <c r="N8"/>
  <c r="N7"/>
  <c r="N6"/>
  <c r="N5"/>
  <c r="B177" i="73"/>
  <c r="B190"/>
  <c r="D145"/>
  <c r="D144"/>
  <c r="H194"/>
  <c r="D177"/>
  <c r="D178"/>
  <c r="D81"/>
  <c r="D80"/>
  <c r="D123"/>
  <c r="D111"/>
  <c r="D82"/>
  <c r="D72"/>
  <c r="G134"/>
  <c r="G157"/>
  <c r="D154"/>
  <c r="D153"/>
  <c r="G145"/>
  <c r="D179"/>
  <c r="D181"/>
  <c r="D182"/>
  <c r="D183"/>
  <c r="D184"/>
  <c r="D185"/>
  <c r="D186"/>
  <c r="D187"/>
  <c r="D188"/>
  <c r="D189"/>
  <c r="D137"/>
  <c r="D138"/>
  <c r="D139"/>
  <c r="D140"/>
  <c r="D141"/>
  <c r="D142"/>
  <c r="D143"/>
  <c r="D136"/>
  <c r="D147"/>
  <c r="D157" s="1"/>
  <c r="D148"/>
  <c r="D149"/>
  <c r="D150"/>
  <c r="D151"/>
  <c r="D152"/>
  <c r="D155"/>
  <c r="B144"/>
  <c r="B145" s="1"/>
  <c r="B157" s="1"/>
  <c r="E177"/>
  <c r="B176"/>
  <c r="D175"/>
  <c r="C175"/>
  <c r="A175"/>
  <c r="D174"/>
  <c r="C174"/>
  <c r="D173"/>
  <c r="A173"/>
  <c r="C173" s="1"/>
  <c r="D172"/>
  <c r="C172"/>
  <c r="D171"/>
  <c r="A171"/>
  <c r="C171" s="1"/>
  <c r="D170"/>
  <c r="C170"/>
  <c r="A170"/>
  <c r="G176"/>
  <c r="G190" s="1"/>
  <c r="G193" s="1"/>
  <c r="C169"/>
  <c r="A169"/>
  <c r="D168"/>
  <c r="A176"/>
  <c r="A190" s="1"/>
  <c r="D167"/>
  <c r="C167"/>
  <c r="A167"/>
  <c r="D166"/>
  <c r="C166"/>
  <c r="D165"/>
  <c r="C165"/>
  <c r="A157"/>
  <c r="A145"/>
  <c r="C143"/>
  <c r="C142"/>
  <c r="C141"/>
  <c r="C140"/>
  <c r="C139"/>
  <c r="C138"/>
  <c r="C137"/>
  <c r="C136"/>
  <c r="C145" s="1"/>
  <c r="C157" s="1"/>
  <c r="S123" i="46"/>
  <c r="W161"/>
  <c r="V11"/>
  <c r="V18"/>
  <c r="U133"/>
  <c r="U146"/>
  <c r="X245" i="50"/>
  <c r="Q287"/>
  <c r="N288"/>
  <c r="N285"/>
  <c r="G285"/>
  <c r="F287"/>
  <c r="C294"/>
  <c r="C287"/>
  <c r="C285"/>
  <c r="Z354"/>
  <c r="X352"/>
  <c r="V352"/>
  <c r="T352"/>
  <c r="R352"/>
  <c r="P352"/>
  <c r="N352"/>
  <c r="L352"/>
  <c r="J352"/>
  <c r="F352"/>
  <c r="D352"/>
  <c r="X351"/>
  <c r="W351"/>
  <c r="W352" s="1"/>
  <c r="V351"/>
  <c r="U351"/>
  <c r="U352" s="1"/>
  <c r="T351"/>
  <c r="S351"/>
  <c r="S352" s="1"/>
  <c r="R351"/>
  <c r="Q351"/>
  <c r="Q352" s="1"/>
  <c r="P351"/>
  <c r="O351"/>
  <c r="O352" s="1"/>
  <c r="N351"/>
  <c r="M351"/>
  <c r="M352" s="1"/>
  <c r="L351"/>
  <c r="K351"/>
  <c r="K352" s="1"/>
  <c r="J351"/>
  <c r="I351"/>
  <c r="I352" s="1"/>
  <c r="G351"/>
  <c r="G352" s="1"/>
  <c r="F351"/>
  <c r="E351"/>
  <c r="E352" s="1"/>
  <c r="D351"/>
  <c r="C351"/>
  <c r="C352" s="1"/>
  <c r="Y350"/>
  <c r="Y349"/>
  <c r="H351"/>
  <c r="H352" s="1"/>
  <c r="Y347"/>
  <c r="Y346"/>
  <c r="X345"/>
  <c r="V345"/>
  <c r="T345"/>
  <c r="R345"/>
  <c r="P345"/>
  <c r="N345"/>
  <c r="L345"/>
  <c r="J345"/>
  <c r="H345"/>
  <c r="F345"/>
  <c r="D345"/>
  <c r="X344"/>
  <c r="W344"/>
  <c r="W345" s="1"/>
  <c r="V344"/>
  <c r="U344"/>
  <c r="U345" s="1"/>
  <c r="T344"/>
  <c r="S344"/>
  <c r="S345" s="1"/>
  <c r="R344"/>
  <c r="Q344"/>
  <c r="Q345" s="1"/>
  <c r="P344"/>
  <c r="O344"/>
  <c r="O345" s="1"/>
  <c r="N344"/>
  <c r="M344"/>
  <c r="M345" s="1"/>
  <c r="L344"/>
  <c r="K344"/>
  <c r="K345" s="1"/>
  <c r="J344"/>
  <c r="I344"/>
  <c r="I345" s="1"/>
  <c r="H344"/>
  <c r="G344"/>
  <c r="G345" s="1"/>
  <c r="F344"/>
  <c r="E344"/>
  <c r="E345" s="1"/>
  <c r="D344"/>
  <c r="C344"/>
  <c r="C345" s="1"/>
  <c r="Y343"/>
  <c r="Y342"/>
  <c r="X341"/>
  <c r="V341"/>
  <c r="T341"/>
  <c r="R341"/>
  <c r="P341"/>
  <c r="N341"/>
  <c r="L341"/>
  <c r="J341"/>
  <c r="H341"/>
  <c r="F341"/>
  <c r="D341"/>
  <c r="X340"/>
  <c r="W340"/>
  <c r="W341" s="1"/>
  <c r="V340"/>
  <c r="U340"/>
  <c r="U341" s="1"/>
  <c r="T340"/>
  <c r="S340"/>
  <c r="S341" s="1"/>
  <c r="R340"/>
  <c r="Q340"/>
  <c r="Q341" s="1"/>
  <c r="P340"/>
  <c r="O340"/>
  <c r="O341" s="1"/>
  <c r="N340"/>
  <c r="M340"/>
  <c r="M341" s="1"/>
  <c r="L340"/>
  <c r="K340"/>
  <c r="K341" s="1"/>
  <c r="J340"/>
  <c r="I340"/>
  <c r="I341" s="1"/>
  <c r="H340"/>
  <c r="G340"/>
  <c r="G341" s="1"/>
  <c r="F340"/>
  <c r="E340"/>
  <c r="E341" s="1"/>
  <c r="D340"/>
  <c r="C340"/>
  <c r="C341" s="1"/>
  <c r="Y339"/>
  <c r="Y338"/>
  <c r="Y337"/>
  <c r="Y336"/>
  <c r="X333"/>
  <c r="V333"/>
  <c r="T333"/>
  <c r="X332"/>
  <c r="W332"/>
  <c r="W333" s="1"/>
  <c r="V332"/>
  <c r="U332"/>
  <c r="U333" s="1"/>
  <c r="S332"/>
  <c r="S333" s="1"/>
  <c r="R332"/>
  <c r="R333" s="1"/>
  <c r="Q332"/>
  <c r="Q333" s="1"/>
  <c r="P332"/>
  <c r="P333" s="1"/>
  <c r="O332"/>
  <c r="O333" s="1"/>
  <c r="N332"/>
  <c r="N333" s="1"/>
  <c r="M332"/>
  <c r="M333" s="1"/>
  <c r="L332"/>
  <c r="L333" s="1"/>
  <c r="K332"/>
  <c r="K333" s="1"/>
  <c r="J332"/>
  <c r="J333" s="1"/>
  <c r="I332"/>
  <c r="I333" s="1"/>
  <c r="H332"/>
  <c r="H333" s="1"/>
  <c r="G332"/>
  <c r="G333" s="1"/>
  <c r="F332"/>
  <c r="F333" s="1"/>
  <c r="E332"/>
  <c r="E333" s="1"/>
  <c r="D332"/>
  <c r="D333" s="1"/>
  <c r="C332"/>
  <c r="C333" s="1"/>
  <c r="Y331"/>
  <c r="Y330"/>
  <c r="Y329"/>
  <c r="Y328"/>
  <c r="Y327"/>
  <c r="Y326"/>
  <c r="Y325"/>
  <c r="Y324"/>
  <c r="Y323"/>
  <c r="Y322"/>
  <c r="Y321"/>
  <c r="Y320"/>
  <c r="Y319"/>
  <c r="Y318"/>
  <c r="Y317"/>
  <c r="X316"/>
  <c r="V316"/>
  <c r="T316"/>
  <c r="R316"/>
  <c r="P316"/>
  <c r="N316"/>
  <c r="L316"/>
  <c r="J316"/>
  <c r="H316"/>
  <c r="F316"/>
  <c r="D316"/>
  <c r="X315"/>
  <c r="W315"/>
  <c r="W316" s="1"/>
  <c r="V315"/>
  <c r="U315"/>
  <c r="U316" s="1"/>
  <c r="T315"/>
  <c r="S315"/>
  <c r="S316" s="1"/>
  <c r="R315"/>
  <c r="Q315"/>
  <c r="Q316" s="1"/>
  <c r="P315"/>
  <c r="O315"/>
  <c r="O316" s="1"/>
  <c r="N315"/>
  <c r="M315"/>
  <c r="M316" s="1"/>
  <c r="L315"/>
  <c r="K315"/>
  <c r="K316" s="1"/>
  <c r="J315"/>
  <c r="I315"/>
  <c r="I316" s="1"/>
  <c r="H315"/>
  <c r="G315"/>
  <c r="G316" s="1"/>
  <c r="F315"/>
  <c r="E315"/>
  <c r="E316" s="1"/>
  <c r="D315"/>
  <c r="C315"/>
  <c r="C316" s="1"/>
  <c r="Y314"/>
  <c r="Y313"/>
  <c r="Y312"/>
  <c r="Y311"/>
  <c r="Y315" s="1"/>
  <c r="Y316" s="1"/>
  <c r="Y310"/>
  <c r="U309"/>
  <c r="S309"/>
  <c r="Q309"/>
  <c r="O309"/>
  <c r="K309"/>
  <c r="I309"/>
  <c r="G309"/>
  <c r="E309"/>
  <c r="X308"/>
  <c r="X309" s="1"/>
  <c r="W308"/>
  <c r="W309" s="1"/>
  <c r="V308"/>
  <c r="V309" s="1"/>
  <c r="U308"/>
  <c r="T308"/>
  <c r="T309" s="1"/>
  <c r="S308"/>
  <c r="R308"/>
  <c r="R309" s="1"/>
  <c r="Q308"/>
  <c r="P308"/>
  <c r="P309" s="1"/>
  <c r="O308"/>
  <c r="N308"/>
  <c r="N309" s="1"/>
  <c r="M308"/>
  <c r="M309" s="1"/>
  <c r="L308"/>
  <c r="L309" s="1"/>
  <c r="K308"/>
  <c r="J308"/>
  <c r="J309" s="1"/>
  <c r="I308"/>
  <c r="H308"/>
  <c r="H309" s="1"/>
  <c r="G308"/>
  <c r="F308"/>
  <c r="F309" s="1"/>
  <c r="E308"/>
  <c r="D308"/>
  <c r="D309" s="1"/>
  <c r="C308"/>
  <c r="C309" s="1"/>
  <c r="Y307"/>
  <c r="Y306"/>
  <c r="Y305"/>
  <c r="Y304"/>
  <c r="Y303"/>
  <c r="Y302"/>
  <c r="Y299"/>
  <c r="Y298"/>
  <c r="Y297"/>
  <c r="Y296"/>
  <c r="Y295"/>
  <c r="Y294"/>
  <c r="Y293"/>
  <c r="Y292"/>
  <c r="Y291"/>
  <c r="X290"/>
  <c r="V290"/>
  <c r="T290"/>
  <c r="R290"/>
  <c r="X289"/>
  <c r="W289"/>
  <c r="W290" s="1"/>
  <c r="V289"/>
  <c r="U289"/>
  <c r="U290" s="1"/>
  <c r="T289"/>
  <c r="R289"/>
  <c r="Q289"/>
  <c r="Q290" s="1"/>
  <c r="P289"/>
  <c r="P290" s="1"/>
  <c r="O289"/>
  <c r="O290" s="1"/>
  <c r="M289"/>
  <c r="M290" s="1"/>
  <c r="L289"/>
  <c r="L290" s="1"/>
  <c r="K289"/>
  <c r="K290" s="1"/>
  <c r="J289"/>
  <c r="J290" s="1"/>
  <c r="I289"/>
  <c r="I290" s="1"/>
  <c r="F289"/>
  <c r="F290" s="1"/>
  <c r="E289"/>
  <c r="E290" s="1"/>
  <c r="D289"/>
  <c r="D290" s="1"/>
  <c r="Y288"/>
  <c r="S289"/>
  <c r="S290" s="1"/>
  <c r="H289"/>
  <c r="H290" s="1"/>
  <c r="Y286"/>
  <c r="N289"/>
  <c r="N290" s="1"/>
  <c r="G289"/>
  <c r="G290" s="1"/>
  <c r="Y284"/>
  <c r="X283"/>
  <c r="V283"/>
  <c r="T283"/>
  <c r="R283"/>
  <c r="N283"/>
  <c r="X282"/>
  <c r="W282"/>
  <c r="W283" s="1"/>
  <c r="V282"/>
  <c r="U282"/>
  <c r="U283" s="1"/>
  <c r="T282"/>
  <c r="S282"/>
  <c r="S283" s="1"/>
  <c r="R282"/>
  <c r="Q282"/>
  <c r="Q283" s="1"/>
  <c r="P282"/>
  <c r="P283" s="1"/>
  <c r="O282"/>
  <c r="O283" s="1"/>
  <c r="N282"/>
  <c r="M282"/>
  <c r="M283" s="1"/>
  <c r="L282"/>
  <c r="L283" s="1"/>
  <c r="K282"/>
  <c r="K283" s="1"/>
  <c r="J282"/>
  <c r="J283" s="1"/>
  <c r="I282"/>
  <c r="I283" s="1"/>
  <c r="H282"/>
  <c r="H283" s="1"/>
  <c r="G282"/>
  <c r="G283" s="1"/>
  <c r="F282"/>
  <c r="F283" s="1"/>
  <c r="E282"/>
  <c r="E283" s="1"/>
  <c r="D282"/>
  <c r="D283" s="1"/>
  <c r="C282"/>
  <c r="C283" s="1"/>
  <c r="Y281"/>
  <c r="Y280"/>
  <c r="Y279"/>
  <c r="Y278"/>
  <c r="Y277"/>
  <c r="Y276"/>
  <c r="Y275"/>
  <c r="W274"/>
  <c r="U274"/>
  <c r="S274"/>
  <c r="Q274"/>
  <c r="O274"/>
  <c r="M274"/>
  <c r="X273"/>
  <c r="X274" s="1"/>
  <c r="W273"/>
  <c r="V273"/>
  <c r="V274" s="1"/>
  <c r="U273"/>
  <c r="T273"/>
  <c r="T274" s="1"/>
  <c r="S273"/>
  <c r="R273"/>
  <c r="R274" s="1"/>
  <c r="Q273"/>
  <c r="P273"/>
  <c r="P274" s="1"/>
  <c r="O273"/>
  <c r="N273"/>
  <c r="N274" s="1"/>
  <c r="M273"/>
  <c r="L273"/>
  <c r="L274" s="1"/>
  <c r="K273"/>
  <c r="K274" s="1"/>
  <c r="J273"/>
  <c r="J274" s="1"/>
  <c r="I273"/>
  <c r="I274" s="1"/>
  <c r="H273"/>
  <c r="H274" s="1"/>
  <c r="G273"/>
  <c r="G274" s="1"/>
  <c r="F273"/>
  <c r="F274" s="1"/>
  <c r="E273"/>
  <c r="E274" s="1"/>
  <c r="D273"/>
  <c r="D274" s="1"/>
  <c r="C273"/>
  <c r="C274" s="1"/>
  <c r="Y272"/>
  <c r="Y271"/>
  <c r="Y268"/>
  <c r="Y267"/>
  <c r="Y266"/>
  <c r="Y265"/>
  <c r="Y264"/>
  <c r="Y263"/>
  <c r="W262"/>
  <c r="U262"/>
  <c r="T262"/>
  <c r="X261"/>
  <c r="X262" s="1"/>
  <c r="W261"/>
  <c r="V261"/>
  <c r="V262" s="1"/>
  <c r="U261"/>
  <c r="S261"/>
  <c r="S262" s="1"/>
  <c r="R261"/>
  <c r="R262" s="1"/>
  <c r="Q261"/>
  <c r="Q262" s="1"/>
  <c r="P261"/>
  <c r="P262" s="1"/>
  <c r="O261"/>
  <c r="O262" s="1"/>
  <c r="N261"/>
  <c r="N262" s="1"/>
  <c r="M261"/>
  <c r="M262" s="1"/>
  <c r="L261"/>
  <c r="L262" s="1"/>
  <c r="K261"/>
  <c r="K262" s="1"/>
  <c r="J261"/>
  <c r="J262" s="1"/>
  <c r="I261"/>
  <c r="I262" s="1"/>
  <c r="H261"/>
  <c r="H262" s="1"/>
  <c r="G261"/>
  <c r="G262" s="1"/>
  <c r="F261"/>
  <c r="F262" s="1"/>
  <c r="E261"/>
  <c r="E262" s="1"/>
  <c r="D261"/>
  <c r="D262" s="1"/>
  <c r="C261"/>
  <c r="Y261" s="1"/>
  <c r="Y262" s="1"/>
  <c r="Y260"/>
  <c r="Y259"/>
  <c r="Y258"/>
  <c r="Y257"/>
  <c r="Y256"/>
  <c r="Y255"/>
  <c r="V254"/>
  <c r="V354" s="1"/>
  <c r="T254"/>
  <c r="T354" s="1"/>
  <c r="R254"/>
  <c r="R354" s="1"/>
  <c r="P254"/>
  <c r="N254"/>
  <c r="L254"/>
  <c r="J254"/>
  <c r="H254"/>
  <c r="F254"/>
  <c r="D254"/>
  <c r="W253"/>
  <c r="W254" s="1"/>
  <c r="V253"/>
  <c r="V353" s="1"/>
  <c r="U253"/>
  <c r="U254" s="1"/>
  <c r="U354" s="1"/>
  <c r="T253"/>
  <c r="T353" s="1"/>
  <c r="S253"/>
  <c r="S254" s="1"/>
  <c r="S354" s="1"/>
  <c r="R253"/>
  <c r="R353" s="1"/>
  <c r="Q253"/>
  <c r="Q254" s="1"/>
  <c r="Q354" s="1"/>
  <c r="P253"/>
  <c r="P353" s="1"/>
  <c r="O253"/>
  <c r="O254" s="1"/>
  <c r="O354" s="1"/>
  <c r="N253"/>
  <c r="N353" s="1"/>
  <c r="M253"/>
  <c r="M254" s="1"/>
  <c r="L253"/>
  <c r="L353" s="1"/>
  <c r="K253"/>
  <c r="K254" s="1"/>
  <c r="J253"/>
  <c r="J353" s="1"/>
  <c r="I253"/>
  <c r="I254" s="1"/>
  <c r="H253"/>
  <c r="H353" s="1"/>
  <c r="G253"/>
  <c r="G254" s="1"/>
  <c r="F253"/>
  <c r="F353" s="1"/>
  <c r="E253"/>
  <c r="E254" s="1"/>
  <c r="D253"/>
  <c r="D353" s="1"/>
  <c r="C253"/>
  <c r="C254" s="1"/>
  <c r="Y252"/>
  <c r="Y251"/>
  <c r="Y250"/>
  <c r="Y249"/>
  <c r="Y248"/>
  <c r="Y247"/>
  <c r="Y246"/>
  <c r="Y245"/>
  <c r="Y244"/>
  <c r="Y243"/>
  <c r="Z237"/>
  <c r="P237"/>
  <c r="P11" i="46"/>
  <c r="G264" i="73" l="1"/>
  <c r="Y407" i="50"/>
  <c r="Y408" s="1"/>
  <c r="C472"/>
  <c r="X372"/>
  <c r="X472" s="1"/>
  <c r="X471"/>
  <c r="Y471" s="1"/>
  <c r="T87" i="54"/>
  <c r="U87"/>
  <c r="V80"/>
  <c r="V81" s="1"/>
  <c r="V87" s="1"/>
  <c r="L81"/>
  <c r="L87" s="1"/>
  <c r="V86"/>
  <c r="G194" i="73"/>
  <c r="H195" s="1"/>
  <c r="C168"/>
  <c r="C176" s="1"/>
  <c r="C190" s="1"/>
  <c r="D169"/>
  <c r="Y308" i="50"/>
  <c r="Y309" s="1"/>
  <c r="N354"/>
  <c r="M354"/>
  <c r="W354"/>
  <c r="P354"/>
  <c r="D354"/>
  <c r="H354"/>
  <c r="L354"/>
  <c r="F354"/>
  <c r="J354"/>
  <c r="E354"/>
  <c r="G354"/>
  <c r="I354"/>
  <c r="K354"/>
  <c r="Y273"/>
  <c r="Y274" s="1"/>
  <c r="X353"/>
  <c r="X354"/>
  <c r="C262"/>
  <c r="Y282"/>
  <c r="Y283" s="1"/>
  <c r="Y285"/>
  <c r="C289"/>
  <c r="C290" s="1"/>
  <c r="Y332"/>
  <c r="Y333" s="1"/>
  <c r="Y340"/>
  <c r="Y341" s="1"/>
  <c r="Y344"/>
  <c r="Y345" s="1"/>
  <c r="C353"/>
  <c r="E353"/>
  <c r="G353"/>
  <c r="I353"/>
  <c r="K353"/>
  <c r="M353"/>
  <c r="O353"/>
  <c r="Q353"/>
  <c r="S353"/>
  <c r="U353"/>
  <c r="W353"/>
  <c r="Y287"/>
  <c r="Y348"/>
  <c r="Y351" s="1"/>
  <c r="Y352" s="1"/>
  <c r="L51" i="54"/>
  <c r="W58"/>
  <c r="C72" i="73"/>
  <c r="H81"/>
  <c r="G81"/>
  <c r="H55" i="23"/>
  <c r="H13"/>
  <c r="H9"/>
  <c r="G67"/>
  <c r="H59"/>
  <c r="G59"/>
  <c r="G55"/>
  <c r="H40"/>
  <c r="G40"/>
  <c r="H37"/>
  <c r="G37"/>
  <c r="H33"/>
  <c r="G33"/>
  <c r="G30"/>
  <c r="H25"/>
  <c r="G25"/>
  <c r="G11"/>
  <c r="G60" s="1"/>
  <c r="G68" s="1"/>
  <c r="L52" i="54"/>
  <c r="D52"/>
  <c r="E52"/>
  <c r="F52"/>
  <c r="G52"/>
  <c r="H52"/>
  <c r="I52"/>
  <c r="J52"/>
  <c r="K52"/>
  <c r="M52"/>
  <c r="N52"/>
  <c r="O52"/>
  <c r="P52"/>
  <c r="Q52"/>
  <c r="R52"/>
  <c r="S52"/>
  <c r="T52"/>
  <c r="U52"/>
  <c r="C52"/>
  <c r="U57"/>
  <c r="T57"/>
  <c r="S57"/>
  <c r="R57"/>
  <c r="Q57"/>
  <c r="P57"/>
  <c r="O57"/>
  <c r="N57"/>
  <c r="M57"/>
  <c r="K57"/>
  <c r="J57"/>
  <c r="I57"/>
  <c r="H57"/>
  <c r="G57"/>
  <c r="F57"/>
  <c r="E57"/>
  <c r="D57"/>
  <c r="C57"/>
  <c r="V56"/>
  <c r="U56"/>
  <c r="U58" s="1"/>
  <c r="T56"/>
  <c r="T58" s="1"/>
  <c r="S56"/>
  <c r="S58" s="1"/>
  <c r="R56"/>
  <c r="R58" s="1"/>
  <c r="Q56"/>
  <c r="Q58" s="1"/>
  <c r="P56"/>
  <c r="P58" s="1"/>
  <c r="O56"/>
  <c r="O58" s="1"/>
  <c r="N56"/>
  <c r="N58" s="1"/>
  <c r="M56"/>
  <c r="M58" s="1"/>
  <c r="L56"/>
  <c r="K56"/>
  <c r="K58" s="1"/>
  <c r="J56"/>
  <c r="J58" s="1"/>
  <c r="I56"/>
  <c r="I58" s="1"/>
  <c r="H56"/>
  <c r="H58" s="1"/>
  <c r="G56"/>
  <c r="G58" s="1"/>
  <c r="F56"/>
  <c r="F58" s="1"/>
  <c r="E56"/>
  <c r="E58" s="1"/>
  <c r="D56"/>
  <c r="D58" s="1"/>
  <c r="C56"/>
  <c r="C58" s="1"/>
  <c r="V54"/>
  <c r="U54"/>
  <c r="T54"/>
  <c r="S54"/>
  <c r="R54"/>
  <c r="Q54"/>
  <c r="P54"/>
  <c r="O54"/>
  <c r="N54"/>
  <c r="M54"/>
  <c r="L54"/>
  <c r="K54"/>
  <c r="J54"/>
  <c r="I54"/>
  <c r="H54"/>
  <c r="G54"/>
  <c r="F54"/>
  <c r="E54"/>
  <c r="D54"/>
  <c r="C54"/>
  <c r="V51"/>
  <c r="V52" s="1"/>
  <c r="L57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C50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D48"/>
  <c r="C48"/>
  <c r="U46"/>
  <c r="T46"/>
  <c r="S46"/>
  <c r="R46"/>
  <c r="Q46"/>
  <c r="P46"/>
  <c r="O46"/>
  <c r="N46"/>
  <c r="M46"/>
  <c r="L46"/>
  <c r="K46"/>
  <c r="J46"/>
  <c r="I46"/>
  <c r="H46"/>
  <c r="G46"/>
  <c r="F46"/>
  <c r="E46"/>
  <c r="D46"/>
  <c r="C46"/>
  <c r="V45"/>
  <c r="V46" s="1"/>
  <c r="U44"/>
  <c r="T44"/>
  <c r="S44"/>
  <c r="R44"/>
  <c r="Q44"/>
  <c r="P44"/>
  <c r="O44"/>
  <c r="N44"/>
  <c r="M44"/>
  <c r="L44"/>
  <c r="K44"/>
  <c r="J44"/>
  <c r="I44"/>
  <c r="H44"/>
  <c r="G44"/>
  <c r="F44"/>
  <c r="E44"/>
  <c r="D44"/>
  <c r="C44"/>
  <c r="V43"/>
  <c r="V44" s="1"/>
  <c r="V42"/>
  <c r="U42"/>
  <c r="T42"/>
  <c r="S42"/>
  <c r="R42"/>
  <c r="Q42"/>
  <c r="P42"/>
  <c r="O42"/>
  <c r="N42"/>
  <c r="M42"/>
  <c r="L42"/>
  <c r="K42"/>
  <c r="J42"/>
  <c r="I42"/>
  <c r="H42"/>
  <c r="G42"/>
  <c r="F42"/>
  <c r="E42"/>
  <c r="D42"/>
  <c r="C42"/>
  <c r="V40"/>
  <c r="U40"/>
  <c r="T40"/>
  <c r="S40"/>
  <c r="R40"/>
  <c r="Q40"/>
  <c r="P40"/>
  <c r="O40"/>
  <c r="N40"/>
  <c r="M40"/>
  <c r="L40"/>
  <c r="K40"/>
  <c r="J40"/>
  <c r="I40"/>
  <c r="H40"/>
  <c r="G40"/>
  <c r="F40"/>
  <c r="E40"/>
  <c r="D40"/>
  <c r="C40"/>
  <c r="U38"/>
  <c r="T38"/>
  <c r="S38"/>
  <c r="R38"/>
  <c r="Q38"/>
  <c r="P38"/>
  <c r="O38"/>
  <c r="N38"/>
  <c r="M38"/>
  <c r="L38"/>
  <c r="K38"/>
  <c r="J38"/>
  <c r="I38"/>
  <c r="H38"/>
  <c r="G38"/>
  <c r="F38"/>
  <c r="E38"/>
  <c r="D38"/>
  <c r="C38"/>
  <c r="V37"/>
  <c r="V38" s="1"/>
  <c r="U36"/>
  <c r="T36"/>
  <c r="S36"/>
  <c r="R36"/>
  <c r="Q36"/>
  <c r="P36"/>
  <c r="O36"/>
  <c r="N36"/>
  <c r="M36"/>
  <c r="L36"/>
  <c r="K36"/>
  <c r="J36"/>
  <c r="I36"/>
  <c r="H36"/>
  <c r="G36"/>
  <c r="F36"/>
  <c r="E36"/>
  <c r="D36"/>
  <c r="C36"/>
  <c r="V35"/>
  <c r="V36" s="1"/>
  <c r="Y218" i="75"/>
  <c r="Y217"/>
  <c r="Y216"/>
  <c r="Y215"/>
  <c r="Y214"/>
  <c r="Y213"/>
  <c r="Y212"/>
  <c r="Y211"/>
  <c r="Y210"/>
  <c r="Y209"/>
  <c r="Y208"/>
  <c r="Y205"/>
  <c r="Y204"/>
  <c r="Y203"/>
  <c r="Y202"/>
  <c r="Y201"/>
  <c r="Y200"/>
  <c r="Y199"/>
  <c r="Y198"/>
  <c r="Y197"/>
  <c r="Y196"/>
  <c r="Y195"/>
  <c r="Y194"/>
  <c r="Y193"/>
  <c r="Y192"/>
  <c r="Y191"/>
  <c r="Y190"/>
  <c r="Y189"/>
  <c r="Y188"/>
  <c r="Y187"/>
  <c r="Y186"/>
  <c r="Y185"/>
  <c r="Y184"/>
  <c r="Y183"/>
  <c r="Y182"/>
  <c r="Y181"/>
  <c r="Y180"/>
  <c r="Y177"/>
  <c r="Y176"/>
  <c r="Y175"/>
  <c r="Y174"/>
  <c r="Y173"/>
  <c r="Y172"/>
  <c r="Y171"/>
  <c r="Y170"/>
  <c r="Y169"/>
  <c r="Y168"/>
  <c r="Y167"/>
  <c r="Y166"/>
  <c r="Y165"/>
  <c r="Y164"/>
  <c r="Y163"/>
  <c r="Y162"/>
  <c r="Y161"/>
  <c r="Y160"/>
  <c r="Y159"/>
  <c r="Y158"/>
  <c r="Y157"/>
  <c r="Y156"/>
  <c r="Y155"/>
  <c r="Y154"/>
  <c r="Y151"/>
  <c r="Y150"/>
  <c r="Y149"/>
  <c r="Y148"/>
  <c r="Y147"/>
  <c r="Y146"/>
  <c r="Y145"/>
  <c r="Y144"/>
  <c r="Y143"/>
  <c r="Y142"/>
  <c r="Y141"/>
  <c r="Y140"/>
  <c r="Y139"/>
  <c r="Y138"/>
  <c r="Y137"/>
  <c r="Y136"/>
  <c r="Y135"/>
  <c r="Y134"/>
  <c r="Y133"/>
  <c r="Y132"/>
  <c r="Y131"/>
  <c r="Y130"/>
  <c r="P122"/>
  <c r="Y472" i="50" l="1"/>
  <c r="H169" i="73"/>
  <c r="D176"/>
  <c r="D194" s="1"/>
  <c r="H196" s="1"/>
  <c r="C354" i="50"/>
  <c r="Y354" s="1"/>
  <c r="Z356" s="1"/>
  <c r="Y353"/>
  <c r="Y289"/>
  <c r="Y290" s="1"/>
  <c r="V58" i="54"/>
  <c r="L58"/>
  <c r="V57"/>
  <c r="N164" i="50"/>
  <c r="M164"/>
  <c r="L164"/>
  <c r="J164"/>
  <c r="I164"/>
  <c r="H164"/>
  <c r="G164"/>
  <c r="F164"/>
  <c r="E164"/>
  <c r="D164"/>
  <c r="C164"/>
  <c r="P156"/>
  <c r="L156"/>
  <c r="I156"/>
  <c r="G156"/>
  <c r="E156"/>
  <c r="C156"/>
  <c r="C155"/>
  <c r="P155"/>
  <c r="M155"/>
  <c r="L155"/>
  <c r="J155"/>
  <c r="I155"/>
  <c r="H155"/>
  <c r="G155"/>
  <c r="F155"/>
  <c r="E155"/>
  <c r="D155"/>
  <c r="D156" s="1"/>
  <c r="Y135"/>
  <c r="F42" i="53"/>
  <c r="F29"/>
  <c r="F31"/>
  <c r="G31" s="1"/>
  <c r="I5" i="52"/>
  <c r="B111" i="73"/>
  <c r="C79"/>
  <c r="C78"/>
  <c r="C77"/>
  <c r="C76"/>
  <c r="C75"/>
  <c r="C74"/>
  <c r="C73"/>
  <c r="C81"/>
  <c r="B81"/>
  <c r="B80"/>
  <c r="G83"/>
  <c r="G82"/>
  <c r="G111"/>
  <c r="G103"/>
  <c r="D122"/>
  <c r="D121"/>
  <c r="D113"/>
  <c r="D114"/>
  <c r="D115"/>
  <c r="D116"/>
  <c r="D117"/>
  <c r="D118"/>
  <c r="D119"/>
  <c r="D120"/>
  <c r="D112"/>
  <c r="E111"/>
  <c r="D100"/>
  <c r="D101"/>
  <c r="D102"/>
  <c r="D103"/>
  <c r="D104"/>
  <c r="D105"/>
  <c r="D106"/>
  <c r="D107"/>
  <c r="D108"/>
  <c r="D109"/>
  <c r="D99"/>
  <c r="D89"/>
  <c r="D83"/>
  <c r="D84"/>
  <c r="D85"/>
  <c r="D86"/>
  <c r="D87"/>
  <c r="D88"/>
  <c r="D73"/>
  <c r="D74"/>
  <c r="D75"/>
  <c r="D76"/>
  <c r="D77"/>
  <c r="D78"/>
  <c r="D79"/>
  <c r="G70"/>
  <c r="B110"/>
  <c r="B123" s="1"/>
  <c r="C109"/>
  <c r="C108"/>
  <c r="C107"/>
  <c r="C106"/>
  <c r="C105"/>
  <c r="C104"/>
  <c r="G110"/>
  <c r="G123" s="1"/>
  <c r="C103"/>
  <c r="C102"/>
  <c r="A123"/>
  <c r="C100"/>
  <c r="C99"/>
  <c r="B91"/>
  <c r="A81"/>
  <c r="A91" s="1"/>
  <c r="G91"/>
  <c r="C91"/>
  <c r="M123" i="46"/>
  <c r="N59"/>
  <c r="N77"/>
  <c r="N79"/>
  <c r="N86"/>
  <c r="N103"/>
  <c r="M144"/>
  <c r="N55"/>
  <c r="M32"/>
  <c r="N32"/>
  <c r="M143"/>
  <c r="P23"/>
  <c r="P18"/>
  <c r="O145"/>
  <c r="O146"/>
  <c r="O133"/>
  <c r="N98"/>
  <c r="N97" s="1"/>
  <c r="S169" i="50"/>
  <c r="N167"/>
  <c r="H230"/>
  <c r="H169"/>
  <c r="G167"/>
  <c r="C170"/>
  <c r="C168"/>
  <c r="C167"/>
  <c r="X127"/>
  <c r="Z236"/>
  <c r="D234"/>
  <c r="E234"/>
  <c r="F234"/>
  <c r="G234"/>
  <c r="I234"/>
  <c r="J234"/>
  <c r="K234"/>
  <c r="L234"/>
  <c r="M234"/>
  <c r="N234"/>
  <c r="O234"/>
  <c r="P234"/>
  <c r="Q234"/>
  <c r="R234"/>
  <c r="S234"/>
  <c r="T234"/>
  <c r="U234"/>
  <c r="V234"/>
  <c r="W234"/>
  <c r="X234"/>
  <c r="Y227"/>
  <c r="D227"/>
  <c r="E227"/>
  <c r="F227"/>
  <c r="G227"/>
  <c r="H227"/>
  <c r="I227"/>
  <c r="J227"/>
  <c r="K227"/>
  <c r="L227"/>
  <c r="M227"/>
  <c r="N227"/>
  <c r="O227"/>
  <c r="P227"/>
  <c r="Q227"/>
  <c r="R227"/>
  <c r="S227"/>
  <c r="T227"/>
  <c r="U227"/>
  <c r="V227"/>
  <c r="W227"/>
  <c r="X227"/>
  <c r="C227"/>
  <c r="D223"/>
  <c r="E223"/>
  <c r="F223"/>
  <c r="G223"/>
  <c r="H223"/>
  <c r="I223"/>
  <c r="J223"/>
  <c r="K223"/>
  <c r="L223"/>
  <c r="M223"/>
  <c r="N223"/>
  <c r="O223"/>
  <c r="P223"/>
  <c r="Q223"/>
  <c r="R223"/>
  <c r="S223"/>
  <c r="T223"/>
  <c r="U223"/>
  <c r="V223"/>
  <c r="W223"/>
  <c r="X223"/>
  <c r="Y223"/>
  <c r="C223"/>
  <c r="D215"/>
  <c r="E215"/>
  <c r="F215"/>
  <c r="G215"/>
  <c r="H215"/>
  <c r="I215"/>
  <c r="J215"/>
  <c r="K215"/>
  <c r="L215"/>
  <c r="M215"/>
  <c r="N215"/>
  <c r="O215"/>
  <c r="P215"/>
  <c r="Q215"/>
  <c r="R215"/>
  <c r="S215"/>
  <c r="T215"/>
  <c r="U215"/>
  <c r="V215"/>
  <c r="W215"/>
  <c r="X215"/>
  <c r="Y215"/>
  <c r="C215"/>
  <c r="D198"/>
  <c r="E198"/>
  <c r="F198"/>
  <c r="G198"/>
  <c r="H198"/>
  <c r="I198"/>
  <c r="J198"/>
  <c r="K198"/>
  <c r="L198"/>
  <c r="M198"/>
  <c r="N198"/>
  <c r="O198"/>
  <c r="P198"/>
  <c r="Q198"/>
  <c r="R198"/>
  <c r="S198"/>
  <c r="T198"/>
  <c r="U198"/>
  <c r="V198"/>
  <c r="X198"/>
  <c r="E191"/>
  <c r="F191"/>
  <c r="G191"/>
  <c r="H191"/>
  <c r="I191"/>
  <c r="K191"/>
  <c r="O191"/>
  <c r="P191"/>
  <c r="Q191"/>
  <c r="R191"/>
  <c r="S191"/>
  <c r="T191"/>
  <c r="U191"/>
  <c r="V191"/>
  <c r="X191"/>
  <c r="D172"/>
  <c r="F172"/>
  <c r="I172"/>
  <c r="K172"/>
  <c r="M172"/>
  <c r="O172"/>
  <c r="Q172"/>
  <c r="R172"/>
  <c r="T172"/>
  <c r="U172"/>
  <c r="V172"/>
  <c r="X172"/>
  <c r="X165"/>
  <c r="F165"/>
  <c r="H165"/>
  <c r="I165"/>
  <c r="J165"/>
  <c r="K165"/>
  <c r="M165"/>
  <c r="N165"/>
  <c r="O165"/>
  <c r="Q165"/>
  <c r="R165"/>
  <c r="S165"/>
  <c r="T165"/>
  <c r="U165"/>
  <c r="V165"/>
  <c r="W165"/>
  <c r="F156"/>
  <c r="H156"/>
  <c r="J156"/>
  <c r="K156"/>
  <c r="M156"/>
  <c r="N156"/>
  <c r="O156"/>
  <c r="Q156"/>
  <c r="R156"/>
  <c r="S156"/>
  <c r="T156"/>
  <c r="U156"/>
  <c r="V156"/>
  <c r="W156"/>
  <c r="X156"/>
  <c r="D144"/>
  <c r="E144"/>
  <c r="F144"/>
  <c r="G144"/>
  <c r="H144"/>
  <c r="I144"/>
  <c r="J144"/>
  <c r="K144"/>
  <c r="L144"/>
  <c r="M144"/>
  <c r="N144"/>
  <c r="O144"/>
  <c r="P144"/>
  <c r="Q144"/>
  <c r="R144"/>
  <c r="S144"/>
  <c r="T144"/>
  <c r="U144"/>
  <c r="V144"/>
  <c r="W144"/>
  <c r="X144"/>
  <c r="D136"/>
  <c r="E136"/>
  <c r="F136"/>
  <c r="G136"/>
  <c r="H136"/>
  <c r="I136"/>
  <c r="J136"/>
  <c r="K136"/>
  <c r="L136"/>
  <c r="M136"/>
  <c r="N136"/>
  <c r="O136"/>
  <c r="P136"/>
  <c r="Q136"/>
  <c r="R136"/>
  <c r="S136"/>
  <c r="T136"/>
  <c r="U136"/>
  <c r="V136"/>
  <c r="W136"/>
  <c r="C136"/>
  <c r="C135"/>
  <c r="X233"/>
  <c r="W233"/>
  <c r="V233"/>
  <c r="U233"/>
  <c r="T233"/>
  <c r="S233"/>
  <c r="R233"/>
  <c r="Q233"/>
  <c r="P233"/>
  <c r="O233"/>
  <c r="N233"/>
  <c r="M233"/>
  <c r="L233"/>
  <c r="K233"/>
  <c r="J233"/>
  <c r="I233"/>
  <c r="H233"/>
  <c r="H234" s="1"/>
  <c r="G233"/>
  <c r="F233"/>
  <c r="E233"/>
  <c r="D233"/>
  <c r="C233"/>
  <c r="C234" s="1"/>
  <c r="Y232"/>
  <c r="Y231"/>
  <c r="Y230"/>
  <c r="Y229"/>
  <c r="Y228"/>
  <c r="X226"/>
  <c r="W226"/>
  <c r="V226"/>
  <c r="U226"/>
  <c r="T226"/>
  <c r="S226"/>
  <c r="R226"/>
  <c r="Q226"/>
  <c r="P226"/>
  <c r="O226"/>
  <c r="N226"/>
  <c r="M226"/>
  <c r="L226"/>
  <c r="K226"/>
  <c r="J226"/>
  <c r="I226"/>
  <c r="H226"/>
  <c r="G226"/>
  <c r="F226"/>
  <c r="E226"/>
  <c r="D226"/>
  <c r="C226"/>
  <c r="Y225"/>
  <c r="Y224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C222"/>
  <c r="Y221"/>
  <c r="Y220"/>
  <c r="Y219"/>
  <c r="Y218"/>
  <c r="X214"/>
  <c r="W214"/>
  <c r="V214"/>
  <c r="U214"/>
  <c r="S214"/>
  <c r="R214"/>
  <c r="Q214"/>
  <c r="P214"/>
  <c r="O214"/>
  <c r="N214"/>
  <c r="M214"/>
  <c r="L214"/>
  <c r="K214"/>
  <c r="J214"/>
  <c r="I214"/>
  <c r="H214"/>
  <c r="G214"/>
  <c r="F214"/>
  <c r="E214"/>
  <c r="D214"/>
  <c r="C214"/>
  <c r="Y213"/>
  <c r="Y212"/>
  <c r="Y211"/>
  <c r="Y210"/>
  <c r="Y209"/>
  <c r="Y208"/>
  <c r="Y207"/>
  <c r="Y206"/>
  <c r="Y205"/>
  <c r="Y204"/>
  <c r="Y203"/>
  <c r="Y202"/>
  <c r="Y201"/>
  <c r="Y200"/>
  <c r="Y199"/>
  <c r="X197"/>
  <c r="W197"/>
  <c r="W198" s="1"/>
  <c r="V197"/>
  <c r="U197"/>
  <c r="T197"/>
  <c r="S197"/>
  <c r="R197"/>
  <c r="Q197"/>
  <c r="P197"/>
  <c r="O197"/>
  <c r="N197"/>
  <c r="M197"/>
  <c r="L197"/>
  <c r="K197"/>
  <c r="J197"/>
  <c r="I197"/>
  <c r="H197"/>
  <c r="G197"/>
  <c r="F197"/>
  <c r="E197"/>
  <c r="D197"/>
  <c r="C197"/>
  <c r="C198" s="1"/>
  <c r="Y196"/>
  <c r="Y195"/>
  <c r="Y194"/>
  <c r="Y193"/>
  <c r="Y197" s="1"/>
  <c r="Y198" s="1"/>
  <c r="Y192"/>
  <c r="X190"/>
  <c r="W190"/>
  <c r="W191" s="1"/>
  <c r="V190"/>
  <c r="U190"/>
  <c r="T190"/>
  <c r="S190"/>
  <c r="R190"/>
  <c r="Q190"/>
  <c r="P190"/>
  <c r="O190"/>
  <c r="N190"/>
  <c r="N191" s="1"/>
  <c r="M190"/>
  <c r="M191" s="1"/>
  <c r="L190"/>
  <c r="L191" s="1"/>
  <c r="K190"/>
  <c r="J190"/>
  <c r="J191" s="1"/>
  <c r="I190"/>
  <c r="H190"/>
  <c r="G190"/>
  <c r="F190"/>
  <c r="E190"/>
  <c r="D190"/>
  <c r="D191" s="1"/>
  <c r="Y189"/>
  <c r="Y188"/>
  <c r="Y187"/>
  <c r="Y186"/>
  <c r="Y185"/>
  <c r="Y184"/>
  <c r="Y181"/>
  <c r="Y180"/>
  <c r="Y179"/>
  <c r="Y178"/>
  <c r="Y177"/>
  <c r="Y176"/>
  <c r="Y175"/>
  <c r="C190"/>
  <c r="C191" s="1"/>
  <c r="Y173"/>
  <c r="X171"/>
  <c r="W171"/>
  <c r="W172" s="1"/>
  <c r="V171"/>
  <c r="U171"/>
  <c r="T171"/>
  <c r="S171"/>
  <c r="S172" s="1"/>
  <c r="R171"/>
  <c r="Q171"/>
  <c r="P171"/>
  <c r="P172" s="1"/>
  <c r="O171"/>
  <c r="N171"/>
  <c r="N172" s="1"/>
  <c r="M171"/>
  <c r="L171"/>
  <c r="L172" s="1"/>
  <c r="K171"/>
  <c r="J171"/>
  <c r="J172" s="1"/>
  <c r="I171"/>
  <c r="H171"/>
  <c r="H172" s="1"/>
  <c r="G171"/>
  <c r="G172" s="1"/>
  <c r="F171"/>
  <c r="E171"/>
  <c r="E172" s="1"/>
  <c r="D171"/>
  <c r="Y170"/>
  <c r="C171"/>
  <c r="C172" s="1"/>
  <c r="Y168"/>
  <c r="Y167"/>
  <c r="Y166"/>
  <c r="X164"/>
  <c r="W164"/>
  <c r="V164"/>
  <c r="U164"/>
  <c r="T164"/>
  <c r="S164"/>
  <c r="R164"/>
  <c r="Q164"/>
  <c r="P164"/>
  <c r="P165" s="1"/>
  <c r="O164"/>
  <c r="L165"/>
  <c r="K164"/>
  <c r="G165"/>
  <c r="E165"/>
  <c r="D165"/>
  <c r="C165"/>
  <c r="Y163"/>
  <c r="Y162"/>
  <c r="Y161"/>
  <c r="Y160"/>
  <c r="Y159"/>
  <c r="Y158"/>
  <c r="Y157"/>
  <c r="X155"/>
  <c r="W155"/>
  <c r="V155"/>
  <c r="U155"/>
  <c r="T155"/>
  <c r="S155"/>
  <c r="R155"/>
  <c r="Q155"/>
  <c r="O155"/>
  <c r="N155"/>
  <c r="K155"/>
  <c r="Y154"/>
  <c r="Y153"/>
  <c r="Y150"/>
  <c r="Y149"/>
  <c r="Y148"/>
  <c r="Y147"/>
  <c r="Y146"/>
  <c r="Y145"/>
  <c r="X143"/>
  <c r="W143"/>
  <c r="V143"/>
  <c r="U143"/>
  <c r="S143"/>
  <c r="R143"/>
  <c r="Q143"/>
  <c r="P143"/>
  <c r="O143"/>
  <c r="N143"/>
  <c r="M143"/>
  <c r="L143"/>
  <c r="K143"/>
  <c r="J143"/>
  <c r="I143"/>
  <c r="H143"/>
  <c r="G143"/>
  <c r="F143"/>
  <c r="E143"/>
  <c r="D143"/>
  <c r="C143"/>
  <c r="C144" s="1"/>
  <c r="Y142"/>
  <c r="Y141"/>
  <c r="Y140"/>
  <c r="Y139"/>
  <c r="Y138"/>
  <c r="Y137"/>
  <c r="X135"/>
  <c r="X136" s="1"/>
  <c r="W135"/>
  <c r="W235" s="1"/>
  <c r="V135"/>
  <c r="U135"/>
  <c r="U235" s="1"/>
  <c r="T135"/>
  <c r="T236" s="1"/>
  <c r="S135"/>
  <c r="S235" s="1"/>
  <c r="R135"/>
  <c r="R236" s="1"/>
  <c r="Q135"/>
  <c r="Q235" s="1"/>
  <c r="P135"/>
  <c r="O135"/>
  <c r="O235" s="1"/>
  <c r="N135"/>
  <c r="M135"/>
  <c r="M235" s="1"/>
  <c r="L135"/>
  <c r="K135"/>
  <c r="K235" s="1"/>
  <c r="J135"/>
  <c r="I135"/>
  <c r="I235" s="1"/>
  <c r="H135"/>
  <c r="G135"/>
  <c r="G235" s="1"/>
  <c r="F135"/>
  <c r="F236" s="1"/>
  <c r="E135"/>
  <c r="E235" s="1"/>
  <c r="D135"/>
  <c r="C235"/>
  <c r="Y134"/>
  <c r="Y133"/>
  <c r="Y132"/>
  <c r="Y131"/>
  <c r="Y130"/>
  <c r="Y129"/>
  <c r="Y128"/>
  <c r="Y127"/>
  <c r="Y126"/>
  <c r="Y125"/>
  <c r="P119"/>
  <c r="Y48" i="75"/>
  <c r="D49"/>
  <c r="E49"/>
  <c r="F49"/>
  <c r="G49"/>
  <c r="H49"/>
  <c r="I49"/>
  <c r="J49"/>
  <c r="K49"/>
  <c r="L49"/>
  <c r="M49"/>
  <c r="N49"/>
  <c r="O49"/>
  <c r="P49"/>
  <c r="Q49"/>
  <c r="R49"/>
  <c r="S49"/>
  <c r="T49"/>
  <c r="U49"/>
  <c r="V49"/>
  <c r="W49"/>
  <c r="X49"/>
  <c r="C49"/>
  <c r="F19"/>
  <c r="E19"/>
  <c r="D19"/>
  <c r="C19"/>
  <c r="X118"/>
  <c r="X119" s="1"/>
  <c r="W118"/>
  <c r="W119" s="1"/>
  <c r="V118"/>
  <c r="V119" s="1"/>
  <c r="U118"/>
  <c r="U119" s="1"/>
  <c r="T118"/>
  <c r="T119" s="1"/>
  <c r="S118"/>
  <c r="S119" s="1"/>
  <c r="R118"/>
  <c r="R119" s="1"/>
  <c r="Q118"/>
  <c r="Q119" s="1"/>
  <c r="P118"/>
  <c r="P119" s="1"/>
  <c r="O118"/>
  <c r="O119" s="1"/>
  <c r="N118"/>
  <c r="N119" s="1"/>
  <c r="M118"/>
  <c r="M119" s="1"/>
  <c r="L118"/>
  <c r="L119" s="1"/>
  <c r="K118"/>
  <c r="K119" s="1"/>
  <c r="J118"/>
  <c r="J119" s="1"/>
  <c r="I118"/>
  <c r="I119" s="1"/>
  <c r="H118"/>
  <c r="H119" s="1"/>
  <c r="G118"/>
  <c r="G119" s="1"/>
  <c r="F118"/>
  <c r="F119" s="1"/>
  <c r="E118"/>
  <c r="E119" s="1"/>
  <c r="D118"/>
  <c r="D119" s="1"/>
  <c r="C118"/>
  <c r="C119" s="1"/>
  <c r="Y117"/>
  <c r="Y116"/>
  <c r="Y115"/>
  <c r="Y114"/>
  <c r="Y113"/>
  <c r="X111"/>
  <c r="X112" s="1"/>
  <c r="W111"/>
  <c r="W112" s="1"/>
  <c r="V111"/>
  <c r="V112" s="1"/>
  <c r="U111"/>
  <c r="U112" s="1"/>
  <c r="T111"/>
  <c r="T112" s="1"/>
  <c r="S111"/>
  <c r="S112" s="1"/>
  <c r="R111"/>
  <c r="R112" s="1"/>
  <c r="Q111"/>
  <c r="Q112" s="1"/>
  <c r="P111"/>
  <c r="P112" s="1"/>
  <c r="O111"/>
  <c r="O112" s="1"/>
  <c r="N111"/>
  <c r="N112" s="1"/>
  <c r="M111"/>
  <c r="M112" s="1"/>
  <c r="L111"/>
  <c r="L112" s="1"/>
  <c r="K111"/>
  <c r="K112" s="1"/>
  <c r="J111"/>
  <c r="J112" s="1"/>
  <c r="I111"/>
  <c r="I112" s="1"/>
  <c r="H111"/>
  <c r="H112" s="1"/>
  <c r="G111"/>
  <c r="G112" s="1"/>
  <c r="F111"/>
  <c r="F112" s="1"/>
  <c r="E111"/>
  <c r="E112" s="1"/>
  <c r="D111"/>
  <c r="D112" s="1"/>
  <c r="C111"/>
  <c r="Y110"/>
  <c r="Y109"/>
  <c r="X107"/>
  <c r="X108" s="1"/>
  <c r="W107"/>
  <c r="W108" s="1"/>
  <c r="V107"/>
  <c r="V108" s="1"/>
  <c r="U107"/>
  <c r="U108" s="1"/>
  <c r="T107"/>
  <c r="T108" s="1"/>
  <c r="S107"/>
  <c r="S108" s="1"/>
  <c r="R107"/>
  <c r="R108" s="1"/>
  <c r="Q107"/>
  <c r="Q108" s="1"/>
  <c r="P107"/>
  <c r="P108" s="1"/>
  <c r="O107"/>
  <c r="O108" s="1"/>
  <c r="N107"/>
  <c r="N108" s="1"/>
  <c r="M107"/>
  <c r="M108" s="1"/>
  <c r="L107"/>
  <c r="L108" s="1"/>
  <c r="K107"/>
  <c r="K108" s="1"/>
  <c r="J107"/>
  <c r="J108" s="1"/>
  <c r="I107"/>
  <c r="I108" s="1"/>
  <c r="H107"/>
  <c r="H108" s="1"/>
  <c r="G107"/>
  <c r="G108" s="1"/>
  <c r="F107"/>
  <c r="F108" s="1"/>
  <c r="E107"/>
  <c r="E108" s="1"/>
  <c r="D107"/>
  <c r="D108" s="1"/>
  <c r="C107"/>
  <c r="Y106"/>
  <c r="Y105"/>
  <c r="Y104"/>
  <c r="Y103"/>
  <c r="T100"/>
  <c r="X99"/>
  <c r="X100" s="1"/>
  <c r="W99"/>
  <c r="W100" s="1"/>
  <c r="V99"/>
  <c r="V100" s="1"/>
  <c r="U99"/>
  <c r="U100" s="1"/>
  <c r="S99"/>
  <c r="S100" s="1"/>
  <c r="R99"/>
  <c r="R100" s="1"/>
  <c r="Q99"/>
  <c r="Q100" s="1"/>
  <c r="P99"/>
  <c r="P100" s="1"/>
  <c r="O99"/>
  <c r="O100" s="1"/>
  <c r="N99"/>
  <c r="N100" s="1"/>
  <c r="M99"/>
  <c r="M100" s="1"/>
  <c r="L99"/>
  <c r="L100" s="1"/>
  <c r="K99"/>
  <c r="K100" s="1"/>
  <c r="J99"/>
  <c r="J100" s="1"/>
  <c r="I99"/>
  <c r="I100" s="1"/>
  <c r="H99"/>
  <c r="H100" s="1"/>
  <c r="G99"/>
  <c r="G100" s="1"/>
  <c r="F99"/>
  <c r="F100" s="1"/>
  <c r="E99"/>
  <c r="E100" s="1"/>
  <c r="D99"/>
  <c r="D100" s="1"/>
  <c r="C99"/>
  <c r="Y99" s="1"/>
  <c r="Y100" s="1"/>
  <c r="Y98"/>
  <c r="Y97"/>
  <c r="Y96"/>
  <c r="Y95"/>
  <c r="Y94"/>
  <c r="Y93"/>
  <c r="Y92"/>
  <c r="Y91"/>
  <c r="Y90"/>
  <c r="Y89"/>
  <c r="Y88"/>
  <c r="Y87"/>
  <c r="Y86"/>
  <c r="Y85"/>
  <c r="Y84"/>
  <c r="X82"/>
  <c r="X83" s="1"/>
  <c r="W82"/>
  <c r="W83" s="1"/>
  <c r="V82"/>
  <c r="V83" s="1"/>
  <c r="U82"/>
  <c r="U83" s="1"/>
  <c r="T82"/>
  <c r="T83" s="1"/>
  <c r="S82"/>
  <c r="S83" s="1"/>
  <c r="R82"/>
  <c r="R83" s="1"/>
  <c r="Q82"/>
  <c r="Q83" s="1"/>
  <c r="P82"/>
  <c r="P83" s="1"/>
  <c r="O82"/>
  <c r="O83" s="1"/>
  <c r="N82"/>
  <c r="N83" s="1"/>
  <c r="M82"/>
  <c r="M83" s="1"/>
  <c r="L82"/>
  <c r="L83" s="1"/>
  <c r="K82"/>
  <c r="K83" s="1"/>
  <c r="J82"/>
  <c r="J83" s="1"/>
  <c r="I82"/>
  <c r="I83" s="1"/>
  <c r="H82"/>
  <c r="H83" s="1"/>
  <c r="G82"/>
  <c r="G83" s="1"/>
  <c r="F82"/>
  <c r="F83" s="1"/>
  <c r="E82"/>
  <c r="E83" s="1"/>
  <c r="D82"/>
  <c r="D83" s="1"/>
  <c r="C82"/>
  <c r="C83" s="1"/>
  <c r="Y81"/>
  <c r="Y80"/>
  <c r="Y79"/>
  <c r="Y78"/>
  <c r="Y77"/>
  <c r="X75"/>
  <c r="X76" s="1"/>
  <c r="W75"/>
  <c r="W76" s="1"/>
  <c r="V75"/>
  <c r="V76" s="1"/>
  <c r="U75"/>
  <c r="U76" s="1"/>
  <c r="T75"/>
  <c r="T76" s="1"/>
  <c r="S75"/>
  <c r="S76" s="1"/>
  <c r="R75"/>
  <c r="R76" s="1"/>
  <c r="Q75"/>
  <c r="Q76" s="1"/>
  <c r="P75"/>
  <c r="P76" s="1"/>
  <c r="O75"/>
  <c r="O76" s="1"/>
  <c r="N75"/>
  <c r="N76" s="1"/>
  <c r="M75"/>
  <c r="M76" s="1"/>
  <c r="L75"/>
  <c r="L76" s="1"/>
  <c r="K75"/>
  <c r="K76" s="1"/>
  <c r="J75"/>
  <c r="J76" s="1"/>
  <c r="I75"/>
  <c r="I76" s="1"/>
  <c r="H75"/>
  <c r="H76" s="1"/>
  <c r="G75"/>
  <c r="G76" s="1"/>
  <c r="F75"/>
  <c r="F76" s="1"/>
  <c r="E75"/>
  <c r="E76" s="1"/>
  <c r="D75"/>
  <c r="D76" s="1"/>
  <c r="Y74"/>
  <c r="Y73"/>
  <c r="Y72"/>
  <c r="Y71"/>
  <c r="Y70"/>
  <c r="Y69"/>
  <c r="Y66"/>
  <c r="Y65"/>
  <c r="Y64"/>
  <c r="Y63"/>
  <c r="Y62"/>
  <c r="Y61"/>
  <c r="Y60"/>
  <c r="Y59"/>
  <c r="Y75" s="1"/>
  <c r="C75"/>
  <c r="C76" s="1"/>
  <c r="Y58"/>
  <c r="X56"/>
  <c r="X57" s="1"/>
  <c r="W56"/>
  <c r="W57" s="1"/>
  <c r="V56"/>
  <c r="V57" s="1"/>
  <c r="U56"/>
  <c r="U57" s="1"/>
  <c r="T56"/>
  <c r="T57" s="1"/>
  <c r="S56"/>
  <c r="S57" s="1"/>
  <c r="R56"/>
  <c r="R57" s="1"/>
  <c r="Q56"/>
  <c r="Q57" s="1"/>
  <c r="P56"/>
  <c r="P57" s="1"/>
  <c r="O56"/>
  <c r="O57" s="1"/>
  <c r="N56"/>
  <c r="N57" s="1"/>
  <c r="M56"/>
  <c r="M57" s="1"/>
  <c r="L56"/>
  <c r="L57" s="1"/>
  <c r="K56"/>
  <c r="K57" s="1"/>
  <c r="J56"/>
  <c r="J57" s="1"/>
  <c r="I56"/>
  <c r="I57" s="1"/>
  <c r="H56"/>
  <c r="H57" s="1"/>
  <c r="G56"/>
  <c r="G57" s="1"/>
  <c r="F56"/>
  <c r="F57" s="1"/>
  <c r="E56"/>
  <c r="E57" s="1"/>
  <c r="D56"/>
  <c r="D57" s="1"/>
  <c r="C56"/>
  <c r="C57" s="1"/>
  <c r="Y55"/>
  <c r="Y54"/>
  <c r="Y53"/>
  <c r="Y52"/>
  <c r="Y56" s="1"/>
  <c r="Y57" s="1"/>
  <c r="Y51"/>
  <c r="X50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D50"/>
  <c r="Y47"/>
  <c r="Y46"/>
  <c r="Y45"/>
  <c r="Y44"/>
  <c r="Y43"/>
  <c r="Y42"/>
  <c r="Y49" s="1"/>
  <c r="Y4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Y38"/>
  <c r="Y37"/>
  <c r="Y34"/>
  <c r="Y33"/>
  <c r="Y32"/>
  <c r="Y31"/>
  <c r="Y30"/>
  <c r="Y29"/>
  <c r="T28"/>
  <c r="X27"/>
  <c r="X28" s="1"/>
  <c r="W27"/>
  <c r="W28" s="1"/>
  <c r="V27"/>
  <c r="V28" s="1"/>
  <c r="U27"/>
  <c r="U28" s="1"/>
  <c r="S27"/>
  <c r="S28" s="1"/>
  <c r="R27"/>
  <c r="R28" s="1"/>
  <c r="Q27"/>
  <c r="Q28" s="1"/>
  <c r="P27"/>
  <c r="P28" s="1"/>
  <c r="O27"/>
  <c r="O28" s="1"/>
  <c r="N27"/>
  <c r="N28" s="1"/>
  <c r="M27"/>
  <c r="M28" s="1"/>
  <c r="L27"/>
  <c r="L28" s="1"/>
  <c r="K27"/>
  <c r="K28" s="1"/>
  <c r="J27"/>
  <c r="J28" s="1"/>
  <c r="I27"/>
  <c r="I28" s="1"/>
  <c r="H27"/>
  <c r="H28" s="1"/>
  <c r="G27"/>
  <c r="G28" s="1"/>
  <c r="F27"/>
  <c r="F28" s="1"/>
  <c r="E27"/>
  <c r="E28" s="1"/>
  <c r="D27"/>
  <c r="D28" s="1"/>
  <c r="C27"/>
  <c r="C28" s="1"/>
  <c r="Y26"/>
  <c r="Y25"/>
  <c r="Y24"/>
  <c r="Y23"/>
  <c r="Y22"/>
  <c r="Y21"/>
  <c r="X19"/>
  <c r="X120" s="1"/>
  <c r="W19"/>
  <c r="W120" s="1"/>
  <c r="V19"/>
  <c r="V120" s="1"/>
  <c r="U19"/>
  <c r="U120" s="1"/>
  <c r="T19"/>
  <c r="T120" s="1"/>
  <c r="S19"/>
  <c r="S120" s="1"/>
  <c r="R19"/>
  <c r="R120" s="1"/>
  <c r="Q19"/>
  <c r="Q120" s="1"/>
  <c r="P19"/>
  <c r="P120" s="1"/>
  <c r="O19"/>
  <c r="O120" s="1"/>
  <c r="N19"/>
  <c r="N120" s="1"/>
  <c r="M19"/>
  <c r="M120" s="1"/>
  <c r="L19"/>
  <c r="L120" s="1"/>
  <c r="K19"/>
  <c r="K120" s="1"/>
  <c r="J19"/>
  <c r="J120" s="1"/>
  <c r="I19"/>
  <c r="I120" s="1"/>
  <c r="H19"/>
  <c r="H120" s="1"/>
  <c r="G19"/>
  <c r="G120" s="1"/>
  <c r="F120"/>
  <c r="E120"/>
  <c r="D120"/>
  <c r="Y18"/>
  <c r="Y17"/>
  <c r="Y16"/>
  <c r="Y15"/>
  <c r="Y14"/>
  <c r="Y13"/>
  <c r="Y12"/>
  <c r="Y11"/>
  <c r="Y10"/>
  <c r="Y9"/>
  <c r="P1"/>
  <c r="X115" i="74"/>
  <c r="X116" s="1"/>
  <c r="W115"/>
  <c r="W116" s="1"/>
  <c r="V115"/>
  <c r="V116" s="1"/>
  <c r="U115"/>
  <c r="U116" s="1"/>
  <c r="T115"/>
  <c r="T116" s="1"/>
  <c r="S115"/>
  <c r="S116" s="1"/>
  <c r="R115"/>
  <c r="R116" s="1"/>
  <c r="Q115"/>
  <c r="Q116" s="1"/>
  <c r="P115"/>
  <c r="P116" s="1"/>
  <c r="O115"/>
  <c r="O116" s="1"/>
  <c r="N115"/>
  <c r="N116" s="1"/>
  <c r="M115"/>
  <c r="M116" s="1"/>
  <c r="L115"/>
  <c r="L116" s="1"/>
  <c r="K115"/>
  <c r="K116" s="1"/>
  <c r="J115"/>
  <c r="J116" s="1"/>
  <c r="I115"/>
  <c r="I116" s="1"/>
  <c r="H115"/>
  <c r="H116" s="1"/>
  <c r="G115"/>
  <c r="G116" s="1"/>
  <c r="F115"/>
  <c r="F116" s="1"/>
  <c r="E115"/>
  <c r="E116" s="1"/>
  <c r="D115"/>
  <c r="D116" s="1"/>
  <c r="C115"/>
  <c r="C116" s="1"/>
  <c r="Y114"/>
  <c r="Y113"/>
  <c r="Y112"/>
  <c r="Y111"/>
  <c r="Y115" s="1"/>
  <c r="Y116" s="1"/>
  <c r="Y110"/>
  <c r="X108"/>
  <c r="X109" s="1"/>
  <c r="W108"/>
  <c r="W109" s="1"/>
  <c r="V108"/>
  <c r="V109" s="1"/>
  <c r="U108"/>
  <c r="U109" s="1"/>
  <c r="T108"/>
  <c r="T109" s="1"/>
  <c r="S108"/>
  <c r="S109" s="1"/>
  <c r="R108"/>
  <c r="R109" s="1"/>
  <c r="Q108"/>
  <c r="Q109" s="1"/>
  <c r="P108"/>
  <c r="P109" s="1"/>
  <c r="O108"/>
  <c r="O109" s="1"/>
  <c r="N108"/>
  <c r="N109" s="1"/>
  <c r="M108"/>
  <c r="M109" s="1"/>
  <c r="L108"/>
  <c r="L109" s="1"/>
  <c r="K108"/>
  <c r="K109" s="1"/>
  <c r="J108"/>
  <c r="J109" s="1"/>
  <c r="I108"/>
  <c r="I109" s="1"/>
  <c r="H108"/>
  <c r="H109" s="1"/>
  <c r="G108"/>
  <c r="G109" s="1"/>
  <c r="F108"/>
  <c r="F109" s="1"/>
  <c r="E108"/>
  <c r="E109" s="1"/>
  <c r="D108"/>
  <c r="D109" s="1"/>
  <c r="C108"/>
  <c r="Y108" s="1"/>
  <c r="Y109" s="1"/>
  <c r="Y107"/>
  <c r="Y106"/>
  <c r="X104"/>
  <c r="X105" s="1"/>
  <c r="W104"/>
  <c r="W105" s="1"/>
  <c r="V104"/>
  <c r="V105" s="1"/>
  <c r="U104"/>
  <c r="U105" s="1"/>
  <c r="T104"/>
  <c r="T105" s="1"/>
  <c r="S104"/>
  <c r="S105" s="1"/>
  <c r="R104"/>
  <c r="R105" s="1"/>
  <c r="Q104"/>
  <c r="Q105" s="1"/>
  <c r="P104"/>
  <c r="P105" s="1"/>
  <c r="O104"/>
  <c r="O105" s="1"/>
  <c r="N104"/>
  <c r="N105" s="1"/>
  <c r="M104"/>
  <c r="M105" s="1"/>
  <c r="L104"/>
  <c r="L105" s="1"/>
  <c r="K104"/>
  <c r="K105" s="1"/>
  <c r="J104"/>
  <c r="J105" s="1"/>
  <c r="I104"/>
  <c r="I105" s="1"/>
  <c r="H104"/>
  <c r="H105" s="1"/>
  <c r="G104"/>
  <c r="G105" s="1"/>
  <c r="F104"/>
  <c r="F105" s="1"/>
  <c r="E104"/>
  <c r="E105" s="1"/>
  <c r="D104"/>
  <c r="D105" s="1"/>
  <c r="C104"/>
  <c r="Y104" s="1"/>
  <c r="Y105" s="1"/>
  <c r="Y103"/>
  <c r="Y102"/>
  <c r="Y101"/>
  <c r="Y100"/>
  <c r="T97"/>
  <c r="X96"/>
  <c r="X97" s="1"/>
  <c r="W96"/>
  <c r="W97" s="1"/>
  <c r="V96"/>
  <c r="V97" s="1"/>
  <c r="U96"/>
  <c r="U97" s="1"/>
  <c r="S96"/>
  <c r="S97" s="1"/>
  <c r="R96"/>
  <c r="R97" s="1"/>
  <c r="Q96"/>
  <c r="Q97" s="1"/>
  <c r="P96"/>
  <c r="P97" s="1"/>
  <c r="O96"/>
  <c r="O97" s="1"/>
  <c r="N96"/>
  <c r="N97" s="1"/>
  <c r="M96"/>
  <c r="M97" s="1"/>
  <c r="L96"/>
  <c r="L97" s="1"/>
  <c r="K96"/>
  <c r="K97" s="1"/>
  <c r="J96"/>
  <c r="J97" s="1"/>
  <c r="I96"/>
  <c r="I97" s="1"/>
  <c r="H96"/>
  <c r="H97" s="1"/>
  <c r="G96"/>
  <c r="G97" s="1"/>
  <c r="F96"/>
  <c r="F97" s="1"/>
  <c r="E96"/>
  <c r="E97" s="1"/>
  <c r="D96"/>
  <c r="D97" s="1"/>
  <c r="C96"/>
  <c r="Y96" s="1"/>
  <c r="Y97" s="1"/>
  <c r="Y95"/>
  <c r="Y94"/>
  <c r="Y93"/>
  <c r="Y92"/>
  <c r="Y91"/>
  <c r="Y90"/>
  <c r="Y89"/>
  <c r="Y88"/>
  <c r="Y87"/>
  <c r="Y86"/>
  <c r="Y85"/>
  <c r="Y84"/>
  <c r="Y83"/>
  <c r="Y82"/>
  <c r="Y81"/>
  <c r="X79"/>
  <c r="X80" s="1"/>
  <c r="W79"/>
  <c r="W80" s="1"/>
  <c r="V79"/>
  <c r="V80" s="1"/>
  <c r="U79"/>
  <c r="U80" s="1"/>
  <c r="T79"/>
  <c r="T80" s="1"/>
  <c r="S79"/>
  <c r="S80" s="1"/>
  <c r="R79"/>
  <c r="R80" s="1"/>
  <c r="Q79"/>
  <c r="Q80" s="1"/>
  <c r="P79"/>
  <c r="P80" s="1"/>
  <c r="O79"/>
  <c r="O80" s="1"/>
  <c r="N79"/>
  <c r="N80" s="1"/>
  <c r="M79"/>
  <c r="M80" s="1"/>
  <c r="L79"/>
  <c r="L80" s="1"/>
  <c r="K79"/>
  <c r="K80" s="1"/>
  <c r="J79"/>
  <c r="J80" s="1"/>
  <c r="I79"/>
  <c r="I80" s="1"/>
  <c r="H79"/>
  <c r="H80" s="1"/>
  <c r="G79"/>
  <c r="G80" s="1"/>
  <c r="F79"/>
  <c r="F80" s="1"/>
  <c r="E79"/>
  <c r="E80" s="1"/>
  <c r="D79"/>
  <c r="D80" s="1"/>
  <c r="C79"/>
  <c r="C80" s="1"/>
  <c r="Y78"/>
  <c r="Y77"/>
  <c r="Y76"/>
  <c r="Y75"/>
  <c r="Y79" s="1"/>
  <c r="Y80" s="1"/>
  <c r="Y74"/>
  <c r="X72"/>
  <c r="X73" s="1"/>
  <c r="W72"/>
  <c r="W73" s="1"/>
  <c r="V72"/>
  <c r="V73" s="1"/>
  <c r="U72"/>
  <c r="U73" s="1"/>
  <c r="T72"/>
  <c r="T73" s="1"/>
  <c r="S72"/>
  <c r="S73" s="1"/>
  <c r="R72"/>
  <c r="R73" s="1"/>
  <c r="Q72"/>
  <c r="Q73" s="1"/>
  <c r="P72"/>
  <c r="P73" s="1"/>
  <c r="O72"/>
  <c r="O73" s="1"/>
  <c r="N72"/>
  <c r="N73" s="1"/>
  <c r="M72"/>
  <c r="M73" s="1"/>
  <c r="L72"/>
  <c r="L73" s="1"/>
  <c r="K72"/>
  <c r="K73" s="1"/>
  <c r="J72"/>
  <c r="J73" s="1"/>
  <c r="I72"/>
  <c r="I73" s="1"/>
  <c r="H72"/>
  <c r="H73" s="1"/>
  <c r="G72"/>
  <c r="G73" s="1"/>
  <c r="F72"/>
  <c r="F73" s="1"/>
  <c r="E72"/>
  <c r="E73" s="1"/>
  <c r="D72"/>
  <c r="D73" s="1"/>
  <c r="Y71"/>
  <c r="Y70"/>
  <c r="Y69"/>
  <c r="Y68"/>
  <c r="Y67"/>
  <c r="Y66"/>
  <c r="Y63"/>
  <c r="Y62"/>
  <c r="Y61"/>
  <c r="Y60"/>
  <c r="Y59"/>
  <c r="Y58"/>
  <c r="Y57"/>
  <c r="C56"/>
  <c r="C72" s="1"/>
  <c r="C73" s="1"/>
  <c r="Y55"/>
  <c r="X53"/>
  <c r="X54" s="1"/>
  <c r="W53"/>
  <c r="W54" s="1"/>
  <c r="V53"/>
  <c r="V54" s="1"/>
  <c r="U53"/>
  <c r="U54" s="1"/>
  <c r="T53"/>
  <c r="T54" s="1"/>
  <c r="S53"/>
  <c r="S54" s="1"/>
  <c r="R53"/>
  <c r="R54" s="1"/>
  <c r="Q53"/>
  <c r="Q54" s="1"/>
  <c r="P53"/>
  <c r="P54" s="1"/>
  <c r="O53"/>
  <c r="O54" s="1"/>
  <c r="N53"/>
  <c r="N54" s="1"/>
  <c r="M53"/>
  <c r="M54" s="1"/>
  <c r="L53"/>
  <c r="L54" s="1"/>
  <c r="K53"/>
  <c r="K54" s="1"/>
  <c r="J53"/>
  <c r="J54" s="1"/>
  <c r="I53"/>
  <c r="I54" s="1"/>
  <c r="H53"/>
  <c r="H54" s="1"/>
  <c r="G53"/>
  <c r="G54" s="1"/>
  <c r="F53"/>
  <c r="F54" s="1"/>
  <c r="E53"/>
  <c r="E54" s="1"/>
  <c r="D53"/>
  <c r="D54" s="1"/>
  <c r="Y52"/>
  <c r="C51"/>
  <c r="C53" s="1"/>
  <c r="C54" s="1"/>
  <c r="Y50"/>
  <c r="Y49"/>
  <c r="Y48"/>
  <c r="X46"/>
  <c r="X47" s="1"/>
  <c r="W46"/>
  <c r="W47" s="1"/>
  <c r="V46"/>
  <c r="V47" s="1"/>
  <c r="U46"/>
  <c r="U47" s="1"/>
  <c r="T46"/>
  <c r="T47" s="1"/>
  <c r="S46"/>
  <c r="S47" s="1"/>
  <c r="R46"/>
  <c r="R47" s="1"/>
  <c r="Q46"/>
  <c r="Q47" s="1"/>
  <c r="P46"/>
  <c r="P47" s="1"/>
  <c r="O46"/>
  <c r="O47" s="1"/>
  <c r="N46"/>
  <c r="N47" s="1"/>
  <c r="M46"/>
  <c r="M47" s="1"/>
  <c r="L46"/>
  <c r="L47" s="1"/>
  <c r="K46"/>
  <c r="K47" s="1"/>
  <c r="J46"/>
  <c r="J47" s="1"/>
  <c r="I46"/>
  <c r="I47" s="1"/>
  <c r="H46"/>
  <c r="H47" s="1"/>
  <c r="G46"/>
  <c r="G47" s="1"/>
  <c r="F46"/>
  <c r="F47" s="1"/>
  <c r="E46"/>
  <c r="E47" s="1"/>
  <c r="D46"/>
  <c r="D47" s="1"/>
  <c r="C46"/>
  <c r="Y46" s="1"/>
  <c r="Y47" s="1"/>
  <c r="Y45"/>
  <c r="Y44"/>
  <c r="Y43"/>
  <c r="Y42"/>
  <c r="Y41"/>
  <c r="Y40"/>
  <c r="Y39"/>
  <c r="X37"/>
  <c r="X38" s="1"/>
  <c r="W37"/>
  <c r="W38" s="1"/>
  <c r="V37"/>
  <c r="V38" s="1"/>
  <c r="U37"/>
  <c r="U38" s="1"/>
  <c r="T37"/>
  <c r="T38" s="1"/>
  <c r="S37"/>
  <c r="S38" s="1"/>
  <c r="R37"/>
  <c r="R38" s="1"/>
  <c r="Q37"/>
  <c r="Q38" s="1"/>
  <c r="P37"/>
  <c r="P38" s="1"/>
  <c r="O37"/>
  <c r="O38" s="1"/>
  <c r="N37"/>
  <c r="N38" s="1"/>
  <c r="M37"/>
  <c r="M38" s="1"/>
  <c r="L37"/>
  <c r="L38" s="1"/>
  <c r="K37"/>
  <c r="K38" s="1"/>
  <c r="J37"/>
  <c r="J38" s="1"/>
  <c r="I37"/>
  <c r="I38" s="1"/>
  <c r="H37"/>
  <c r="H38" s="1"/>
  <c r="G37"/>
  <c r="G38" s="1"/>
  <c r="F37"/>
  <c r="F38" s="1"/>
  <c r="E37"/>
  <c r="E38" s="1"/>
  <c r="D37"/>
  <c r="D38" s="1"/>
  <c r="C37"/>
  <c r="C38" s="1"/>
  <c r="Y36"/>
  <c r="Y35"/>
  <c r="Y32"/>
  <c r="Y31"/>
  <c r="Y30"/>
  <c r="Y29"/>
  <c r="Y28"/>
  <c r="Y27"/>
  <c r="Y37" s="1"/>
  <c r="Y38" s="1"/>
  <c r="T26"/>
  <c r="X25"/>
  <c r="X26" s="1"/>
  <c r="W25"/>
  <c r="W26" s="1"/>
  <c r="V25"/>
  <c r="V26" s="1"/>
  <c r="U25"/>
  <c r="U26" s="1"/>
  <c r="S25"/>
  <c r="S26" s="1"/>
  <c r="R25"/>
  <c r="R26" s="1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C25"/>
  <c r="C26" s="1"/>
  <c r="Y24"/>
  <c r="Y23"/>
  <c r="Y22"/>
  <c r="Y21"/>
  <c r="Y20"/>
  <c r="Y19"/>
  <c r="X17"/>
  <c r="X117" s="1"/>
  <c r="W17"/>
  <c r="W117" s="1"/>
  <c r="V17"/>
  <c r="V117" s="1"/>
  <c r="U17"/>
  <c r="U117" s="1"/>
  <c r="T17"/>
  <c r="T117" s="1"/>
  <c r="S17"/>
  <c r="S117" s="1"/>
  <c r="R17"/>
  <c r="R117" s="1"/>
  <c r="Q17"/>
  <c r="Q117" s="1"/>
  <c r="P17"/>
  <c r="P117" s="1"/>
  <c r="O17"/>
  <c r="O117" s="1"/>
  <c r="N17"/>
  <c r="N117" s="1"/>
  <c r="M17"/>
  <c r="M117" s="1"/>
  <c r="L17"/>
  <c r="L117" s="1"/>
  <c r="K17"/>
  <c r="K117" s="1"/>
  <c r="J17"/>
  <c r="J117" s="1"/>
  <c r="I17"/>
  <c r="I117" s="1"/>
  <c r="H17"/>
  <c r="H117" s="1"/>
  <c r="G17"/>
  <c r="G117" s="1"/>
  <c r="F17"/>
  <c r="F117" s="1"/>
  <c r="E17"/>
  <c r="E117" s="1"/>
  <c r="D17"/>
  <c r="D117" s="1"/>
  <c r="C17"/>
  <c r="Y17" s="1"/>
  <c r="Y18" s="1"/>
  <c r="Y16"/>
  <c r="Y15"/>
  <c r="Y14"/>
  <c r="Y13"/>
  <c r="Y12"/>
  <c r="Y11"/>
  <c r="Y10"/>
  <c r="Y9"/>
  <c r="Y8"/>
  <c r="Y7"/>
  <c r="P1"/>
  <c r="L22" i="54"/>
  <c r="D193" i="73" l="1"/>
  <c r="Y118" i="75"/>
  <c r="Y119" s="1"/>
  <c r="Y82"/>
  <c r="Y83" s="1"/>
  <c r="C120"/>
  <c r="Y107"/>
  <c r="Y108" s="1"/>
  <c r="Y111"/>
  <c r="Y112" s="1"/>
  <c r="D110" i="73"/>
  <c r="G127"/>
  <c r="G126"/>
  <c r="D91"/>
  <c r="C101"/>
  <c r="C110" s="1"/>
  <c r="C123" s="1"/>
  <c r="P236" i="50"/>
  <c r="N236"/>
  <c r="J236"/>
  <c r="Y233"/>
  <c r="Y234" s="1"/>
  <c r="H236"/>
  <c r="L236"/>
  <c r="D236"/>
  <c r="Y155"/>
  <c r="Y156" s="1"/>
  <c r="Y164"/>
  <c r="Y165" s="1"/>
  <c r="V236"/>
  <c r="X236"/>
  <c r="E236"/>
  <c r="G236"/>
  <c r="I236"/>
  <c r="K236"/>
  <c r="M236"/>
  <c r="O236"/>
  <c r="Q236"/>
  <c r="S236"/>
  <c r="U236"/>
  <c r="W236"/>
  <c r="Y143"/>
  <c r="Y144" s="1"/>
  <c r="Y214"/>
  <c r="Y222"/>
  <c r="Y226"/>
  <c r="D235"/>
  <c r="F235"/>
  <c r="H235"/>
  <c r="J235"/>
  <c r="L235"/>
  <c r="N235"/>
  <c r="P235"/>
  <c r="R235"/>
  <c r="T235"/>
  <c r="V235"/>
  <c r="X235"/>
  <c r="Y136"/>
  <c r="Y169"/>
  <c r="Y171" s="1"/>
  <c r="Y172" s="1"/>
  <c r="Y174"/>
  <c r="Y190" s="1"/>
  <c r="Y191" s="1"/>
  <c r="Y19" i="75"/>
  <c r="Y20" s="1"/>
  <c r="Y50"/>
  <c r="Y39"/>
  <c r="Y40" s="1"/>
  <c r="Y76"/>
  <c r="C20"/>
  <c r="E20"/>
  <c r="E121" s="1"/>
  <c r="G20"/>
  <c r="G121" s="1"/>
  <c r="I20"/>
  <c r="I121" s="1"/>
  <c r="K20"/>
  <c r="K121" s="1"/>
  <c r="M20"/>
  <c r="M121" s="1"/>
  <c r="O20"/>
  <c r="O121" s="1"/>
  <c r="Q20"/>
  <c r="Q121" s="1"/>
  <c r="S20"/>
  <c r="S121" s="1"/>
  <c r="U20"/>
  <c r="U121" s="1"/>
  <c r="W20"/>
  <c r="W121" s="1"/>
  <c r="Y27"/>
  <c r="Y28" s="1"/>
  <c r="C50"/>
  <c r="C100"/>
  <c r="C108"/>
  <c r="C112"/>
  <c r="Y120"/>
  <c r="Z121" s="1"/>
  <c r="Z122" s="1"/>
  <c r="D20"/>
  <c r="D121" s="1"/>
  <c r="F20"/>
  <c r="F121" s="1"/>
  <c r="H20"/>
  <c r="H121" s="1"/>
  <c r="J20"/>
  <c r="J121" s="1"/>
  <c r="L20"/>
  <c r="L121" s="1"/>
  <c r="N20"/>
  <c r="N121" s="1"/>
  <c r="P20"/>
  <c r="P121" s="1"/>
  <c r="R20"/>
  <c r="R121" s="1"/>
  <c r="T20"/>
  <c r="T121" s="1"/>
  <c r="V20"/>
  <c r="V121" s="1"/>
  <c r="X20"/>
  <c r="X121" s="1"/>
  <c r="C18" i="74"/>
  <c r="E18"/>
  <c r="E118" s="1"/>
  <c r="G18"/>
  <c r="G118" s="1"/>
  <c r="I18"/>
  <c r="I118" s="1"/>
  <c r="K18"/>
  <c r="K118" s="1"/>
  <c r="M18"/>
  <c r="M118" s="1"/>
  <c r="O18"/>
  <c r="O118" s="1"/>
  <c r="Q18"/>
  <c r="Q118" s="1"/>
  <c r="S18"/>
  <c r="S118" s="1"/>
  <c r="U18"/>
  <c r="U118" s="1"/>
  <c r="W18"/>
  <c r="W118" s="1"/>
  <c r="Y25"/>
  <c r="Y26" s="1"/>
  <c r="C47"/>
  <c r="C97"/>
  <c r="C105"/>
  <c r="C109"/>
  <c r="C117"/>
  <c r="Y117" s="1"/>
  <c r="D18"/>
  <c r="D118" s="1"/>
  <c r="F18"/>
  <c r="F118" s="1"/>
  <c r="H18"/>
  <c r="H118" s="1"/>
  <c r="J18"/>
  <c r="J118" s="1"/>
  <c r="L18"/>
  <c r="L118" s="1"/>
  <c r="N18"/>
  <c r="N118" s="1"/>
  <c r="P18"/>
  <c r="P118" s="1"/>
  <c r="R18"/>
  <c r="R118" s="1"/>
  <c r="T18"/>
  <c r="T118" s="1"/>
  <c r="V18"/>
  <c r="V118" s="1"/>
  <c r="X18"/>
  <c r="X118" s="1"/>
  <c r="Y51"/>
  <c r="Y53" s="1"/>
  <c r="Y54" s="1"/>
  <c r="Y56"/>
  <c r="Y72" s="1"/>
  <c r="C28" i="54"/>
  <c r="C29"/>
  <c r="C27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C23"/>
  <c r="C21"/>
  <c r="C19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C17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C15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C13"/>
  <c r="C11"/>
  <c r="C9"/>
  <c r="V7"/>
  <c r="D7"/>
  <c r="E7"/>
  <c r="F7"/>
  <c r="G7"/>
  <c r="H7"/>
  <c r="I7"/>
  <c r="J7"/>
  <c r="K7"/>
  <c r="L7"/>
  <c r="M7"/>
  <c r="N7"/>
  <c r="O7"/>
  <c r="P7"/>
  <c r="Q7"/>
  <c r="R7"/>
  <c r="S7"/>
  <c r="T7"/>
  <c r="U7"/>
  <c r="C7"/>
  <c r="Y17" i="50"/>
  <c r="X115"/>
  <c r="Y113"/>
  <c r="Y112"/>
  <c r="Y114"/>
  <c r="Y104"/>
  <c r="X104"/>
  <c r="Y102"/>
  <c r="Y103"/>
  <c r="Y101"/>
  <c r="X17"/>
  <c r="Y7"/>
  <c r="Y8"/>
  <c r="C51"/>
  <c r="C56"/>
  <c r="C17"/>
  <c r="L115"/>
  <c r="J115"/>
  <c r="C115"/>
  <c r="I115"/>
  <c r="H115"/>
  <c r="G115"/>
  <c r="F115"/>
  <c r="E115"/>
  <c r="D115"/>
  <c r="T97"/>
  <c r="C37"/>
  <c r="C38" s="1"/>
  <c r="T26"/>
  <c r="C25"/>
  <c r="C26" s="1"/>
  <c r="C18"/>
  <c r="X18"/>
  <c r="D17"/>
  <c r="D18" s="1"/>
  <c r="E17"/>
  <c r="E18" s="1"/>
  <c r="F17"/>
  <c r="F18" s="1"/>
  <c r="G17"/>
  <c r="G18" s="1"/>
  <c r="H17"/>
  <c r="H18" s="1"/>
  <c r="I17"/>
  <c r="I18" s="1"/>
  <c r="J17"/>
  <c r="J18" s="1"/>
  <c r="K17"/>
  <c r="K18" s="1"/>
  <c r="L17"/>
  <c r="L18" s="1"/>
  <c r="M17"/>
  <c r="M18" s="1"/>
  <c r="N17"/>
  <c r="N18" s="1"/>
  <c r="O17"/>
  <c r="O18" s="1"/>
  <c r="P17"/>
  <c r="P18" s="1"/>
  <c r="Q17"/>
  <c r="Q18" s="1"/>
  <c r="R17"/>
  <c r="R18" s="1"/>
  <c r="S17"/>
  <c r="S18" s="1"/>
  <c r="T17"/>
  <c r="T18" s="1"/>
  <c r="U17"/>
  <c r="U18" s="1"/>
  <c r="V17"/>
  <c r="V18" s="1"/>
  <c r="W17"/>
  <c r="W18" s="1"/>
  <c r="G57" i="73"/>
  <c r="D57"/>
  <c r="C57"/>
  <c r="A57"/>
  <c r="G46"/>
  <c r="D46"/>
  <c r="C46"/>
  <c r="A46"/>
  <c r="G27"/>
  <c r="D27"/>
  <c r="C27"/>
  <c r="B27"/>
  <c r="A27"/>
  <c r="D51"/>
  <c r="G13"/>
  <c r="B57"/>
  <c r="D56"/>
  <c r="G39"/>
  <c r="D19"/>
  <c r="G19"/>
  <c r="D54"/>
  <c r="D53"/>
  <c r="D21"/>
  <c r="D23"/>
  <c r="D24"/>
  <c r="D25"/>
  <c r="D22"/>
  <c r="G18"/>
  <c r="C18"/>
  <c r="B18"/>
  <c r="A18"/>
  <c r="D55"/>
  <c r="D50"/>
  <c r="D48"/>
  <c r="D49"/>
  <c r="D52"/>
  <c r="D47"/>
  <c r="D36"/>
  <c r="D37"/>
  <c r="D38"/>
  <c r="D39"/>
  <c r="D40"/>
  <c r="D41"/>
  <c r="D42"/>
  <c r="D43"/>
  <c r="D44"/>
  <c r="D45"/>
  <c r="D35"/>
  <c r="B46"/>
  <c r="A42"/>
  <c r="C42" s="1"/>
  <c r="A41"/>
  <c r="A40"/>
  <c r="A39"/>
  <c r="A45"/>
  <c r="C39"/>
  <c r="A38"/>
  <c r="A37"/>
  <c r="A43"/>
  <c r="C38"/>
  <c r="C36"/>
  <c r="C37"/>
  <c r="C40"/>
  <c r="C41"/>
  <c r="C43"/>
  <c r="C44"/>
  <c r="C45"/>
  <c r="C35"/>
  <c r="C10"/>
  <c r="C11"/>
  <c r="C12"/>
  <c r="C13"/>
  <c r="C14"/>
  <c r="C15"/>
  <c r="C16"/>
  <c r="C9"/>
  <c r="D10"/>
  <c r="D11"/>
  <c r="D12"/>
  <c r="D13"/>
  <c r="D14"/>
  <c r="D15"/>
  <c r="D16"/>
  <c r="D17"/>
  <c r="D9"/>
  <c r="F19" i="53"/>
  <c r="F8"/>
  <c r="H59" i="46"/>
  <c r="H73"/>
  <c r="C67" i="23"/>
  <c r="C25"/>
  <c r="D25"/>
  <c r="E37" i="52"/>
  <c r="C121" i="75" l="1"/>
  <c r="Y121" s="1"/>
  <c r="D127" i="73"/>
  <c r="H129" s="1"/>
  <c r="D126"/>
  <c r="Y235" i="50"/>
  <c r="C236"/>
  <c r="Y236" s="1"/>
  <c r="C118" i="74"/>
  <c r="Y118" s="1"/>
  <c r="Y73"/>
  <c r="Z72"/>
  <c r="Y18" i="50"/>
  <c r="D18" i="73"/>
  <c r="G61"/>
  <c r="D61"/>
  <c r="L40" i="46"/>
  <c r="K23"/>
  <c r="L72"/>
  <c r="R72" s="1"/>
  <c r="X72" s="1"/>
  <c r="K19"/>
  <c r="Q19" s="1"/>
  <c r="K17"/>
  <c r="Q17" s="1"/>
  <c r="K103"/>
  <c r="L49"/>
  <c r="R49" s="1"/>
  <c r="J23" i="52" s="1"/>
  <c r="L48" i="46"/>
  <c r="R48" s="1"/>
  <c r="J22" i="52" s="1"/>
  <c r="L47" i="46"/>
  <c r="R47" s="1"/>
  <c r="J21" i="52" s="1"/>
  <c r="K122" i="46"/>
  <c r="Q122" s="1"/>
  <c r="W122" s="1"/>
  <c r="K121"/>
  <c r="Q121" s="1"/>
  <c r="L111"/>
  <c r="L102"/>
  <c r="R102" s="1"/>
  <c r="X102" s="1"/>
  <c r="L87"/>
  <c r="R87" s="1"/>
  <c r="X87" s="1"/>
  <c r="K24"/>
  <c r="Q24" s="1"/>
  <c r="K22"/>
  <c r="K21"/>
  <c r="Q21" s="1"/>
  <c r="K20"/>
  <c r="Q20" s="1"/>
  <c r="L36"/>
  <c r="R36" s="1"/>
  <c r="X36" s="1"/>
  <c r="L35"/>
  <c r="R35" s="1"/>
  <c r="X35" s="1"/>
  <c r="G123"/>
  <c r="J13"/>
  <c r="J11"/>
  <c r="K11" s="1"/>
  <c r="L11" s="1"/>
  <c r="G13"/>
  <c r="K13" s="1"/>
  <c r="L13" s="1"/>
  <c r="W20" l="1"/>
  <c r="AI20" s="1"/>
  <c r="AO20" s="1"/>
  <c r="AU20" s="1"/>
  <c r="BA20" s="1"/>
  <c r="BG20" s="1"/>
  <c r="BM20" s="1"/>
  <c r="BS20" s="1"/>
  <c r="BY20" s="1"/>
  <c r="CC20" s="1"/>
  <c r="I12" i="52"/>
  <c r="AD87" i="46"/>
  <c r="AJ87" s="1"/>
  <c r="AP87" s="1"/>
  <c r="AV87" s="1"/>
  <c r="BB87" s="1"/>
  <c r="BH87" s="1"/>
  <c r="BN87" s="1"/>
  <c r="BT87" s="1"/>
  <c r="BZ87" s="1"/>
  <c r="CD87" s="1"/>
  <c r="W19"/>
  <c r="AI19" s="1"/>
  <c r="AO19" s="1"/>
  <c r="AU19" s="1"/>
  <c r="BA19" s="1"/>
  <c r="BG19" s="1"/>
  <c r="BM19" s="1"/>
  <c r="BS19" s="1"/>
  <c r="BY19" s="1"/>
  <c r="CC19" s="1"/>
  <c r="I11" i="52"/>
  <c r="W21" i="46"/>
  <c r="AI21" s="1"/>
  <c r="AO21" s="1"/>
  <c r="AU21" s="1"/>
  <c r="BA21" s="1"/>
  <c r="BG21" s="1"/>
  <c r="BM21" s="1"/>
  <c r="BS21" s="1"/>
  <c r="BY21" s="1"/>
  <c r="CC21" s="1"/>
  <c r="I13" i="52"/>
  <c r="W24" i="46"/>
  <c r="AI24" s="1"/>
  <c r="AO24" s="1"/>
  <c r="AU24" s="1"/>
  <c r="BA24" s="1"/>
  <c r="BG24" s="1"/>
  <c r="BM24" s="1"/>
  <c r="I16" i="52"/>
  <c r="W121" i="46"/>
  <c r="W17"/>
  <c r="I9" i="52"/>
  <c r="H32" i="46"/>
  <c r="H52" s="1"/>
  <c r="H55"/>
  <c r="H77"/>
  <c r="H79"/>
  <c r="H86"/>
  <c r="G120"/>
  <c r="G119" s="1"/>
  <c r="K158"/>
  <c r="Q158" s="1"/>
  <c r="W158" s="1"/>
  <c r="K159"/>
  <c r="Q159" s="1"/>
  <c r="W159" s="1"/>
  <c r="I133"/>
  <c r="J18"/>
  <c r="I59"/>
  <c r="J59"/>
  <c r="K59"/>
  <c r="M59"/>
  <c r="O59"/>
  <c r="P59"/>
  <c r="Q59"/>
  <c r="S59"/>
  <c r="T59"/>
  <c r="U59"/>
  <c r="V59"/>
  <c r="W59"/>
  <c r="Y59"/>
  <c r="Z59"/>
  <c r="AA59"/>
  <c r="AB59"/>
  <c r="AC59"/>
  <c r="AE59"/>
  <c r="AF59"/>
  <c r="AG59"/>
  <c r="AH59"/>
  <c r="AI59"/>
  <c r="AK59"/>
  <c r="AL59"/>
  <c r="AM59"/>
  <c r="AN59"/>
  <c r="AO59"/>
  <c r="AQ59"/>
  <c r="AR59"/>
  <c r="AS59"/>
  <c r="AT59"/>
  <c r="AU59"/>
  <c r="AW59"/>
  <c r="AX59"/>
  <c r="AY59"/>
  <c r="AZ59"/>
  <c r="BA59"/>
  <c r="BC59"/>
  <c r="BD59"/>
  <c r="BE59"/>
  <c r="BF59"/>
  <c r="BG59"/>
  <c r="BI59"/>
  <c r="BJ59"/>
  <c r="BK59"/>
  <c r="BL59"/>
  <c r="BM59"/>
  <c r="BO59"/>
  <c r="BP59"/>
  <c r="BQ59"/>
  <c r="BR59"/>
  <c r="BS59"/>
  <c r="BU59"/>
  <c r="BV59"/>
  <c r="BW59"/>
  <c r="BX59"/>
  <c r="BY59"/>
  <c r="CA59"/>
  <c r="CB59"/>
  <c r="CC59"/>
  <c r="L46"/>
  <c r="R46" s="1"/>
  <c r="X47"/>
  <c r="AJ47" s="1"/>
  <c r="AP47" s="1"/>
  <c r="AV47" s="1"/>
  <c r="BB47" s="1"/>
  <c r="BH47" s="1"/>
  <c r="BN47" s="1"/>
  <c r="BT47" s="1"/>
  <c r="BZ47" s="1"/>
  <c r="CD47" s="1"/>
  <c r="Q22"/>
  <c r="G32"/>
  <c r="G52" s="1"/>
  <c r="I32"/>
  <c r="I52" s="1"/>
  <c r="J32"/>
  <c r="J52" s="1"/>
  <c r="K32"/>
  <c r="K52" s="1"/>
  <c r="M52"/>
  <c r="N52"/>
  <c r="O32"/>
  <c r="O52" s="1"/>
  <c r="P32"/>
  <c r="Q32"/>
  <c r="Q52" s="1"/>
  <c r="S32"/>
  <c r="S52" s="1"/>
  <c r="T32"/>
  <c r="T52" s="1"/>
  <c r="U32"/>
  <c r="U52" s="1"/>
  <c r="V32"/>
  <c r="V52" s="1"/>
  <c r="W32"/>
  <c r="W52" s="1"/>
  <c r="Y32"/>
  <c r="Y52" s="1"/>
  <c r="Z32"/>
  <c r="Z52" s="1"/>
  <c r="AA32"/>
  <c r="AA52" s="1"/>
  <c r="AB32"/>
  <c r="AB52" s="1"/>
  <c r="AB165" s="1"/>
  <c r="AC32"/>
  <c r="AC52" s="1"/>
  <c r="AE32"/>
  <c r="AE52" s="1"/>
  <c r="AF32"/>
  <c r="AF52" s="1"/>
  <c r="AG32"/>
  <c r="AG52" s="1"/>
  <c r="AH32"/>
  <c r="AH52" s="1"/>
  <c r="AI32"/>
  <c r="AI52" s="1"/>
  <c r="AK32"/>
  <c r="AK52" s="1"/>
  <c r="AL32"/>
  <c r="AL52" s="1"/>
  <c r="AM32"/>
  <c r="AM52" s="1"/>
  <c r="AN32"/>
  <c r="AN52" s="1"/>
  <c r="AO32"/>
  <c r="AO52" s="1"/>
  <c r="AQ32"/>
  <c r="AQ52" s="1"/>
  <c r="AR32"/>
  <c r="AR52" s="1"/>
  <c r="AS32"/>
  <c r="AS52" s="1"/>
  <c r="AT32"/>
  <c r="AU32"/>
  <c r="AU52" s="1"/>
  <c r="AW32"/>
  <c r="AW52" s="1"/>
  <c r="AX32"/>
  <c r="AX52" s="1"/>
  <c r="AY32"/>
  <c r="AY52" s="1"/>
  <c r="AZ32"/>
  <c r="AZ52" s="1"/>
  <c r="BA32"/>
  <c r="BA52" s="1"/>
  <c r="BC32"/>
  <c r="BD32"/>
  <c r="BD52" s="1"/>
  <c r="BE32"/>
  <c r="BE52" s="1"/>
  <c r="BF32"/>
  <c r="BF52" s="1"/>
  <c r="BG32"/>
  <c r="BG52" s="1"/>
  <c r="BI32"/>
  <c r="BI52" s="1"/>
  <c r="BJ32"/>
  <c r="BJ52" s="1"/>
  <c r="BK32"/>
  <c r="BK52" s="1"/>
  <c r="BL32"/>
  <c r="BL52" s="1"/>
  <c r="BM32"/>
  <c r="BM52" s="1"/>
  <c r="BO32"/>
  <c r="BO52" s="1"/>
  <c r="BP32"/>
  <c r="BP52" s="1"/>
  <c r="BQ32"/>
  <c r="BQ52" s="1"/>
  <c r="BR32"/>
  <c r="BR52" s="1"/>
  <c r="BS32"/>
  <c r="BS52" s="1"/>
  <c r="BU32"/>
  <c r="BU52" s="1"/>
  <c r="BV32"/>
  <c r="BV52" s="1"/>
  <c r="BW32"/>
  <c r="BW52" s="1"/>
  <c r="BX32"/>
  <c r="BY32"/>
  <c r="BY52" s="1"/>
  <c r="CA32"/>
  <c r="CA52" s="1"/>
  <c r="CB32"/>
  <c r="CC32"/>
  <c r="CC52" s="1"/>
  <c r="F32"/>
  <c r="F52" s="1"/>
  <c r="L45"/>
  <c r="R45" s="1"/>
  <c r="X45" s="1"/>
  <c r="E5"/>
  <c r="E25" s="1"/>
  <c r="CA103"/>
  <c r="CA55"/>
  <c r="CA73"/>
  <c r="CA79"/>
  <c r="CA83"/>
  <c r="CA86"/>
  <c r="CA99"/>
  <c r="CA144"/>
  <c r="O96" i="50"/>
  <c r="O97" s="1"/>
  <c r="O115"/>
  <c r="O116" s="1"/>
  <c r="O108"/>
  <c r="O109" s="1"/>
  <c r="O25"/>
  <c r="O26" s="1"/>
  <c r="O37"/>
  <c r="O38" s="1"/>
  <c r="O46"/>
  <c r="O47" s="1"/>
  <c r="O53"/>
  <c r="O54" s="1"/>
  <c r="O72"/>
  <c r="O73" s="1"/>
  <c r="O79"/>
  <c r="O80" s="1"/>
  <c r="O104"/>
  <c r="O105" s="1"/>
  <c r="W53"/>
  <c r="W54" s="1"/>
  <c r="X116"/>
  <c r="W115"/>
  <c r="W116" s="1"/>
  <c r="V115"/>
  <c r="V116" s="1"/>
  <c r="U115"/>
  <c r="U116" s="1"/>
  <c r="T115"/>
  <c r="T116" s="1"/>
  <c r="S115"/>
  <c r="S116" s="1"/>
  <c r="R115"/>
  <c r="R116" s="1"/>
  <c r="Q115"/>
  <c r="Q116" s="1"/>
  <c r="P115"/>
  <c r="P116" s="1"/>
  <c r="N115"/>
  <c r="N116" s="1"/>
  <c r="M115"/>
  <c r="M116" s="1"/>
  <c r="L116"/>
  <c r="K115"/>
  <c r="K116" s="1"/>
  <c r="J116"/>
  <c r="I116"/>
  <c r="H116"/>
  <c r="G116"/>
  <c r="F116"/>
  <c r="E116"/>
  <c r="D116"/>
  <c r="C116"/>
  <c r="Y111"/>
  <c r="Y110"/>
  <c r="X108"/>
  <c r="X109" s="1"/>
  <c r="W108"/>
  <c r="W109" s="1"/>
  <c r="V108"/>
  <c r="V109" s="1"/>
  <c r="U108"/>
  <c r="U109" s="1"/>
  <c r="T108"/>
  <c r="T109" s="1"/>
  <c r="S108"/>
  <c r="S109" s="1"/>
  <c r="R108"/>
  <c r="R109" s="1"/>
  <c r="Q108"/>
  <c r="Q109" s="1"/>
  <c r="P108"/>
  <c r="P109" s="1"/>
  <c r="N108"/>
  <c r="N109" s="1"/>
  <c r="M108"/>
  <c r="M109" s="1"/>
  <c r="L108"/>
  <c r="L109" s="1"/>
  <c r="K108"/>
  <c r="K109" s="1"/>
  <c r="J108"/>
  <c r="J109" s="1"/>
  <c r="I108"/>
  <c r="I109" s="1"/>
  <c r="G108"/>
  <c r="G109" s="1"/>
  <c r="F108"/>
  <c r="F109" s="1"/>
  <c r="E108"/>
  <c r="E109" s="1"/>
  <c r="D108"/>
  <c r="D109" s="1"/>
  <c r="C108"/>
  <c r="C109" s="1"/>
  <c r="H108"/>
  <c r="H109" s="1"/>
  <c r="Y107"/>
  <c r="Y106"/>
  <c r="X105"/>
  <c r="W104"/>
  <c r="W105" s="1"/>
  <c r="V104"/>
  <c r="V105" s="1"/>
  <c r="U104"/>
  <c r="U105" s="1"/>
  <c r="T104"/>
  <c r="T105" s="1"/>
  <c r="S104"/>
  <c r="S105" s="1"/>
  <c r="R104"/>
  <c r="R105" s="1"/>
  <c r="Q104"/>
  <c r="Q105" s="1"/>
  <c r="P104"/>
  <c r="P105" s="1"/>
  <c r="N104"/>
  <c r="N105" s="1"/>
  <c r="M104"/>
  <c r="M105" s="1"/>
  <c r="L104"/>
  <c r="L105" s="1"/>
  <c r="K104"/>
  <c r="K105" s="1"/>
  <c r="J104"/>
  <c r="J105" s="1"/>
  <c r="I104"/>
  <c r="I105" s="1"/>
  <c r="H104"/>
  <c r="H105" s="1"/>
  <c r="G104"/>
  <c r="G105" s="1"/>
  <c r="F104"/>
  <c r="F105" s="1"/>
  <c r="E104"/>
  <c r="E105" s="1"/>
  <c r="D104"/>
  <c r="D105" s="1"/>
  <c r="C104"/>
  <c r="C105" s="1"/>
  <c r="Y100"/>
  <c r="X96"/>
  <c r="X97" s="1"/>
  <c r="W96"/>
  <c r="W97" s="1"/>
  <c r="V96"/>
  <c r="V97" s="1"/>
  <c r="U96"/>
  <c r="U97" s="1"/>
  <c r="S96"/>
  <c r="S97" s="1"/>
  <c r="R96"/>
  <c r="R97" s="1"/>
  <c r="Q96"/>
  <c r="Q97" s="1"/>
  <c r="P96"/>
  <c r="P97" s="1"/>
  <c r="N96"/>
  <c r="N97" s="1"/>
  <c r="M96"/>
  <c r="M97" s="1"/>
  <c r="L96"/>
  <c r="L97" s="1"/>
  <c r="K96"/>
  <c r="K97" s="1"/>
  <c r="J96"/>
  <c r="J97" s="1"/>
  <c r="I96"/>
  <c r="I97" s="1"/>
  <c r="H96"/>
  <c r="H97" s="1"/>
  <c r="G96"/>
  <c r="G97" s="1"/>
  <c r="F96"/>
  <c r="F97" s="1"/>
  <c r="E96"/>
  <c r="E97" s="1"/>
  <c r="D96"/>
  <c r="D97" s="1"/>
  <c r="Y95"/>
  <c r="C96"/>
  <c r="C97" s="1"/>
  <c r="Y94"/>
  <c r="Y93"/>
  <c r="Y92"/>
  <c r="Y91"/>
  <c r="Y90"/>
  <c r="Y89"/>
  <c r="Y88"/>
  <c r="Y87"/>
  <c r="Y86"/>
  <c r="Y85"/>
  <c r="Y84"/>
  <c r="Y83"/>
  <c r="Y82"/>
  <c r="Y81"/>
  <c r="X79"/>
  <c r="X80" s="1"/>
  <c r="V79"/>
  <c r="V80" s="1"/>
  <c r="U79"/>
  <c r="U80" s="1"/>
  <c r="T79"/>
  <c r="T80" s="1"/>
  <c r="S79"/>
  <c r="S80" s="1"/>
  <c r="R79"/>
  <c r="R80" s="1"/>
  <c r="Q79"/>
  <c r="Q80" s="1"/>
  <c r="P79"/>
  <c r="P80" s="1"/>
  <c r="N79"/>
  <c r="N80" s="1"/>
  <c r="M79"/>
  <c r="M80" s="1"/>
  <c r="L79"/>
  <c r="L80" s="1"/>
  <c r="K79"/>
  <c r="K80" s="1"/>
  <c r="J79"/>
  <c r="J80" s="1"/>
  <c r="I79"/>
  <c r="I80" s="1"/>
  <c r="H79"/>
  <c r="H80" s="1"/>
  <c r="G79"/>
  <c r="G80" s="1"/>
  <c r="F79"/>
  <c r="F80" s="1"/>
  <c r="E79"/>
  <c r="E80" s="1"/>
  <c r="D79"/>
  <c r="D80" s="1"/>
  <c r="Y78"/>
  <c r="Y77"/>
  <c r="Y76"/>
  <c r="W79"/>
  <c r="W80" s="1"/>
  <c r="Y75"/>
  <c r="Y74"/>
  <c r="X72"/>
  <c r="X73" s="1"/>
  <c r="W72"/>
  <c r="W73" s="1"/>
  <c r="V72"/>
  <c r="V73" s="1"/>
  <c r="U72"/>
  <c r="U73" s="1"/>
  <c r="T72"/>
  <c r="T73" s="1"/>
  <c r="S72"/>
  <c r="S73" s="1"/>
  <c r="R72"/>
  <c r="R73" s="1"/>
  <c r="Q72"/>
  <c r="Q73" s="1"/>
  <c r="P72"/>
  <c r="P73" s="1"/>
  <c r="N72"/>
  <c r="N73" s="1"/>
  <c r="M72"/>
  <c r="M73" s="1"/>
  <c r="L72"/>
  <c r="L73" s="1"/>
  <c r="K72"/>
  <c r="K73" s="1"/>
  <c r="J72"/>
  <c r="J73" s="1"/>
  <c r="I72"/>
  <c r="I73" s="1"/>
  <c r="H72"/>
  <c r="H73" s="1"/>
  <c r="G72"/>
  <c r="G73" s="1"/>
  <c r="F72"/>
  <c r="F73" s="1"/>
  <c r="E72"/>
  <c r="E73" s="1"/>
  <c r="D72"/>
  <c r="D73" s="1"/>
  <c r="Y71"/>
  <c r="Y70"/>
  <c r="Y69"/>
  <c r="Y68"/>
  <c r="Y67"/>
  <c r="Y66"/>
  <c r="Y63"/>
  <c r="Y62"/>
  <c r="Y61"/>
  <c r="Y72" s="1"/>
  <c r="Z72" s="1"/>
  <c r="Y60"/>
  <c r="Y59"/>
  <c r="Y58"/>
  <c r="Y57"/>
  <c r="Y56"/>
  <c r="Y55"/>
  <c r="X53"/>
  <c r="X54" s="1"/>
  <c r="V53"/>
  <c r="V54" s="1"/>
  <c r="U53"/>
  <c r="U54" s="1"/>
  <c r="T53"/>
  <c r="T54" s="1"/>
  <c r="R53"/>
  <c r="R54" s="1"/>
  <c r="P53"/>
  <c r="P54" s="1"/>
  <c r="M53"/>
  <c r="M54" s="1"/>
  <c r="L53"/>
  <c r="L54" s="1"/>
  <c r="K53"/>
  <c r="K54" s="1"/>
  <c r="I53"/>
  <c r="I54" s="1"/>
  <c r="H53"/>
  <c r="H54" s="1"/>
  <c r="F53"/>
  <c r="F54" s="1"/>
  <c r="E53"/>
  <c r="E54" s="1"/>
  <c r="D53"/>
  <c r="D54" s="1"/>
  <c r="Y52"/>
  <c r="S53"/>
  <c r="S54" s="1"/>
  <c r="Q53"/>
  <c r="Q54" s="1"/>
  <c r="Y51"/>
  <c r="Y50"/>
  <c r="N53"/>
  <c r="N54" s="1"/>
  <c r="J53"/>
  <c r="J54" s="1"/>
  <c r="G53"/>
  <c r="G54" s="1"/>
  <c r="C53"/>
  <c r="C54" s="1"/>
  <c r="Y48"/>
  <c r="X46"/>
  <c r="X47" s="1"/>
  <c r="W46"/>
  <c r="W47" s="1"/>
  <c r="V46"/>
  <c r="V47" s="1"/>
  <c r="U46"/>
  <c r="U47" s="1"/>
  <c r="T46"/>
  <c r="T47" s="1"/>
  <c r="S46"/>
  <c r="S47" s="1"/>
  <c r="R46"/>
  <c r="R47" s="1"/>
  <c r="Q46"/>
  <c r="Q47" s="1"/>
  <c r="P46"/>
  <c r="P47" s="1"/>
  <c r="N46"/>
  <c r="N47" s="1"/>
  <c r="M46"/>
  <c r="M47" s="1"/>
  <c r="L46"/>
  <c r="L47" s="1"/>
  <c r="K46"/>
  <c r="K47" s="1"/>
  <c r="J46"/>
  <c r="J47" s="1"/>
  <c r="I46"/>
  <c r="I47" s="1"/>
  <c r="H46"/>
  <c r="H47" s="1"/>
  <c r="G46"/>
  <c r="F46"/>
  <c r="F47" s="1"/>
  <c r="E46"/>
  <c r="E47" s="1"/>
  <c r="D46"/>
  <c r="D47" s="1"/>
  <c r="C46"/>
  <c r="Y45"/>
  <c r="Y44"/>
  <c r="Y43"/>
  <c r="Y42"/>
  <c r="Y41"/>
  <c r="Y40"/>
  <c r="Y39"/>
  <c r="X37"/>
  <c r="X38" s="1"/>
  <c r="W37"/>
  <c r="W38" s="1"/>
  <c r="V37"/>
  <c r="V38" s="1"/>
  <c r="U37"/>
  <c r="U38" s="1"/>
  <c r="T37"/>
  <c r="S37"/>
  <c r="S38" s="1"/>
  <c r="R37"/>
  <c r="R38" s="1"/>
  <c r="Q37"/>
  <c r="Q38" s="1"/>
  <c r="P37"/>
  <c r="P38" s="1"/>
  <c r="N37"/>
  <c r="N38" s="1"/>
  <c r="M37"/>
  <c r="M38" s="1"/>
  <c r="L37"/>
  <c r="L38" s="1"/>
  <c r="K37"/>
  <c r="K38" s="1"/>
  <c r="J37"/>
  <c r="J38" s="1"/>
  <c r="I37"/>
  <c r="I38" s="1"/>
  <c r="H37"/>
  <c r="H38" s="1"/>
  <c r="F37"/>
  <c r="F38" s="1"/>
  <c r="E37"/>
  <c r="E38" s="1"/>
  <c r="D37"/>
  <c r="D38" s="1"/>
  <c r="Y36"/>
  <c r="G37"/>
  <c r="G38" s="1"/>
  <c r="Y32"/>
  <c r="Y31"/>
  <c r="Y30"/>
  <c r="Y29"/>
  <c r="Y28"/>
  <c r="Y27"/>
  <c r="X25"/>
  <c r="X26" s="1"/>
  <c r="W25"/>
  <c r="W26" s="1"/>
  <c r="V25"/>
  <c r="V26" s="1"/>
  <c r="U25"/>
  <c r="U26" s="1"/>
  <c r="S25"/>
  <c r="S26" s="1"/>
  <c r="R25"/>
  <c r="R26" s="1"/>
  <c r="Q25"/>
  <c r="Q26" s="1"/>
  <c r="P25"/>
  <c r="P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Y24"/>
  <c r="Y23"/>
  <c r="Y22"/>
  <c r="Y21"/>
  <c r="Y20"/>
  <c r="Y19"/>
  <c r="V117"/>
  <c r="U118"/>
  <c r="S118"/>
  <c r="R117"/>
  <c r="Q118"/>
  <c r="P117"/>
  <c r="N118"/>
  <c r="M117"/>
  <c r="K117"/>
  <c r="J118"/>
  <c r="I117"/>
  <c r="H118"/>
  <c r="G117"/>
  <c r="F118"/>
  <c r="E117"/>
  <c r="D118"/>
  <c r="Y16"/>
  <c r="Y15"/>
  <c r="Y14"/>
  <c r="Y13"/>
  <c r="Y12"/>
  <c r="Y11"/>
  <c r="Y10"/>
  <c r="Y9"/>
  <c r="P1"/>
  <c r="BV103" i="46"/>
  <c r="BU5"/>
  <c r="BU25" s="1"/>
  <c r="BV55"/>
  <c r="BV73"/>
  <c r="BV77"/>
  <c r="BV79"/>
  <c r="BV86"/>
  <c r="BV99"/>
  <c r="BX79"/>
  <c r="BW79"/>
  <c r="BX83"/>
  <c r="BW83"/>
  <c r="BX144"/>
  <c r="BU144"/>
  <c r="BX5"/>
  <c r="BW5"/>
  <c r="BW25" s="1"/>
  <c r="AI17" l="1"/>
  <c r="AO17" s="1"/>
  <c r="AU17" s="1"/>
  <c r="BA17" s="1"/>
  <c r="BG17" s="1"/>
  <c r="BM17" s="1"/>
  <c r="BS17" s="1"/>
  <c r="BY17" s="1"/>
  <c r="CC17" s="1"/>
  <c r="N9" i="52"/>
  <c r="N37" s="1"/>
  <c r="W22" i="46"/>
  <c r="AI22" s="1"/>
  <c r="AO22" s="1"/>
  <c r="AU22" s="1"/>
  <c r="BA22" s="1"/>
  <c r="BG22" s="1"/>
  <c r="BM22" s="1"/>
  <c r="BS22" s="1"/>
  <c r="BY22" s="1"/>
  <c r="CC22" s="1"/>
  <c r="I14" i="52"/>
  <c r="X46" i="46"/>
  <c r="J20" i="52"/>
  <c r="CB144" i="46"/>
  <c r="G47" i="50"/>
  <c r="Y46"/>
  <c r="Y47" s="1"/>
  <c r="C47"/>
  <c r="T117"/>
  <c r="T38"/>
  <c r="Y115"/>
  <c r="Y116" s="1"/>
  <c r="O117"/>
  <c r="BX52" i="46"/>
  <c r="CB52"/>
  <c r="Y79" i="50"/>
  <c r="Y80" s="1"/>
  <c r="O118"/>
  <c r="Y105"/>
  <c r="Y73"/>
  <c r="Y96"/>
  <c r="Y97" s="1"/>
  <c r="Y108"/>
  <c r="Y109" s="1"/>
  <c r="E118"/>
  <c r="G118"/>
  <c r="I118"/>
  <c r="K118"/>
  <c r="M118"/>
  <c r="P118"/>
  <c r="R118"/>
  <c r="V118"/>
  <c r="Y25"/>
  <c r="Y26" s="1"/>
  <c r="Y35"/>
  <c r="Y37" s="1"/>
  <c r="Y38" s="1"/>
  <c r="T118"/>
  <c r="Y49"/>
  <c r="Y53" s="1"/>
  <c r="Y54" s="1"/>
  <c r="C72"/>
  <c r="C73" s="1"/>
  <c r="C79"/>
  <c r="C80" s="1"/>
  <c r="D117"/>
  <c r="F117"/>
  <c r="H117"/>
  <c r="J117"/>
  <c r="L117"/>
  <c r="N117"/>
  <c r="Q117"/>
  <c r="S117"/>
  <c r="U117"/>
  <c r="W117"/>
  <c r="BW144" i="46"/>
  <c r="BU120"/>
  <c r="BU119" s="1"/>
  <c r="BS167"/>
  <c r="BV144"/>
  <c r="BZ144"/>
  <c r="CD144"/>
  <c r="BS168"/>
  <c r="BT45"/>
  <c r="BZ45" s="1"/>
  <c r="CD45" s="1"/>
  <c r="BS24"/>
  <c r="BY24" s="1"/>
  <c r="CC24" s="1"/>
  <c r="H43" i="73"/>
  <c r="BN170" i="46"/>
  <c r="BN168"/>
  <c r="C117" i="50" l="1"/>
  <c r="BX25" i="46"/>
  <c r="X117" i="50"/>
  <c r="X118"/>
  <c r="C118"/>
  <c r="G60" i="73"/>
  <c r="Y117" i="50" l="1"/>
  <c r="BI144" i="46" l="1"/>
  <c r="BI143" s="1"/>
  <c r="BD170" l="1"/>
  <c r="BD168"/>
  <c r="V16" i="54"/>
  <c r="U28" l="1"/>
  <c r="T28"/>
  <c r="S28"/>
  <c r="R28"/>
  <c r="Q28"/>
  <c r="P28"/>
  <c r="O28"/>
  <c r="N28"/>
  <c r="M28"/>
  <c r="L28"/>
  <c r="K28"/>
  <c r="J28"/>
  <c r="I28"/>
  <c r="H28"/>
  <c r="G28"/>
  <c r="F28"/>
  <c r="E28"/>
  <c r="D28"/>
  <c r="V27"/>
  <c r="U27"/>
  <c r="T27"/>
  <c r="S27"/>
  <c r="R27"/>
  <c r="Q27"/>
  <c r="P27"/>
  <c r="O27"/>
  <c r="N27"/>
  <c r="M27"/>
  <c r="L27"/>
  <c r="K27"/>
  <c r="J27"/>
  <c r="I27"/>
  <c r="H27"/>
  <c r="G27"/>
  <c r="F27"/>
  <c r="E27"/>
  <c r="D27"/>
  <c r="V25"/>
  <c r="U25"/>
  <c r="T25"/>
  <c r="S25"/>
  <c r="R25"/>
  <c r="Q25"/>
  <c r="P25"/>
  <c r="O25"/>
  <c r="N25"/>
  <c r="M25"/>
  <c r="L25"/>
  <c r="K25"/>
  <c r="J25"/>
  <c r="I25"/>
  <c r="H25"/>
  <c r="G25"/>
  <c r="F25"/>
  <c r="E25"/>
  <c r="D25"/>
  <c r="C25"/>
  <c r="V22"/>
  <c r="V23" s="1"/>
  <c r="V21"/>
  <c r="U21"/>
  <c r="T21"/>
  <c r="S21"/>
  <c r="R21"/>
  <c r="Q21"/>
  <c r="P21"/>
  <c r="O21"/>
  <c r="N21"/>
  <c r="M21"/>
  <c r="L21"/>
  <c r="K21"/>
  <c r="J21"/>
  <c r="I21"/>
  <c r="H21"/>
  <c r="G21"/>
  <c r="F21"/>
  <c r="E21"/>
  <c r="D21"/>
  <c r="V19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V14"/>
  <c r="V15" s="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U9"/>
  <c r="T9"/>
  <c r="S9"/>
  <c r="R9"/>
  <c r="Q9"/>
  <c r="P9"/>
  <c r="O9"/>
  <c r="N9"/>
  <c r="M9"/>
  <c r="L9"/>
  <c r="K9"/>
  <c r="J9"/>
  <c r="I9"/>
  <c r="H9"/>
  <c r="G9"/>
  <c r="F9"/>
  <c r="E9"/>
  <c r="D9"/>
  <c r="V8"/>
  <c r="V9" s="1"/>
  <c r="V6"/>
  <c r="V28" s="1"/>
  <c r="D29" l="1"/>
  <c r="F29"/>
  <c r="H29"/>
  <c r="J29"/>
  <c r="L29"/>
  <c r="P29"/>
  <c r="R29"/>
  <c r="T29"/>
  <c r="E29"/>
  <c r="G29"/>
  <c r="I29"/>
  <c r="K29"/>
  <c r="M29"/>
  <c r="O29"/>
  <c r="Q29"/>
  <c r="S29"/>
  <c r="U29"/>
  <c r="N29"/>
  <c r="V29"/>
  <c r="H40" i="73" l="1"/>
  <c r="H42"/>
  <c r="H39" l="1"/>
  <c r="BC52" i="46" l="1"/>
  <c r="H41" i="73" l="1"/>
  <c r="H47" l="1"/>
  <c r="AX86" i="46" l="1"/>
  <c r="AV144"/>
  <c r="AW144"/>
  <c r="AW143" s="1"/>
  <c r="AX144"/>
  <c r="AY144"/>
  <c r="AY143" s="1"/>
  <c r="AZ144"/>
  <c r="AV143"/>
  <c r="AX143"/>
  <c r="AZ143"/>
  <c r="L118" i="50" l="1"/>
  <c r="W118"/>
  <c r="BB144" i="46"/>
  <c r="BB143" s="1"/>
  <c r="AV120"/>
  <c r="AV119" s="1"/>
  <c r="AV163" s="1"/>
  <c r="AU55"/>
  <c r="AV5"/>
  <c r="AV25" s="1"/>
  <c r="Y118" i="50" l="1"/>
  <c r="AS144" i="46" l="1"/>
  <c r="AT52"/>
  <c r="AR55"/>
  <c r="AR79"/>
  <c r="AR83"/>
  <c r="AR86"/>
  <c r="AR97" l="1"/>
  <c r="AM167"/>
  <c r="AM170"/>
  <c r="AM169"/>
  <c r="AP102" l="1"/>
  <c r="AV102" s="1"/>
  <c r="BB102" s="1"/>
  <c r="BH102" s="1"/>
  <c r="BN102" s="1"/>
  <c r="BT102" s="1"/>
  <c r="BZ102" s="1"/>
  <c r="CD102" s="1"/>
  <c r="AO159"/>
  <c r="AU159" s="1"/>
  <c r="BA159" s="1"/>
  <c r="BG159" s="1"/>
  <c r="BM159" s="1"/>
  <c r="BS159" s="1"/>
  <c r="BY159" s="1"/>
  <c r="AN79"/>
  <c r="CC159" l="1"/>
  <c r="AO158"/>
  <c r="AU158" s="1"/>
  <c r="BA158" s="1"/>
  <c r="BG158" s="1"/>
  <c r="BM158" s="1"/>
  <c r="BS158" s="1"/>
  <c r="BY158" s="1"/>
  <c r="CC158" s="1"/>
  <c r="AM99"/>
  <c r="AN99"/>
  <c r="AO99"/>
  <c r="AQ99"/>
  <c r="AR99"/>
  <c r="AS99"/>
  <c r="AT99"/>
  <c r="AU99"/>
  <c r="AW99"/>
  <c r="AX99"/>
  <c r="AY99"/>
  <c r="AZ99"/>
  <c r="BA99"/>
  <c r="BC99"/>
  <c r="BD99"/>
  <c r="BE99"/>
  <c r="BF99"/>
  <c r="BG99"/>
  <c r="BI99"/>
  <c r="BJ99"/>
  <c r="BK99"/>
  <c r="BL99"/>
  <c r="BM99"/>
  <c r="BO99"/>
  <c r="BP99"/>
  <c r="BQ99"/>
  <c r="BR99"/>
  <c r="BS99"/>
  <c r="BU99"/>
  <c r="BW99"/>
  <c r="BX99"/>
  <c r="BY99"/>
  <c r="CB99"/>
  <c r="CC99"/>
  <c r="AL99"/>
  <c r="AH13" l="1"/>
  <c r="P52" l="1"/>
  <c r="AO161"/>
  <c r="AO162"/>
  <c r="AU161"/>
  <c r="BA161" s="1"/>
  <c r="BG161" s="1"/>
  <c r="BM161" s="1"/>
  <c r="BS161" s="1"/>
  <c r="BY161" s="1"/>
  <c r="CC161" s="1"/>
  <c r="AU162"/>
  <c r="BA162" s="1"/>
  <c r="BG162" s="1"/>
  <c r="BM162" s="1"/>
  <c r="BS162" s="1"/>
  <c r="BY162" s="1"/>
  <c r="CC162" s="1"/>
  <c r="AF79"/>
  <c r="AF83"/>
  <c r="P103" l="1"/>
  <c r="O103"/>
  <c r="R111"/>
  <c r="M120"/>
  <c r="X111" l="1"/>
  <c r="AJ111" s="1"/>
  <c r="AP111" s="1"/>
  <c r="AV111" s="1"/>
  <c r="BB111" s="1"/>
  <c r="BH111" s="1"/>
  <c r="BN111" s="1"/>
  <c r="BT111" s="1"/>
  <c r="BZ111" s="1"/>
  <c r="CD111" s="1"/>
  <c r="L27"/>
  <c r="R27" s="1"/>
  <c r="L44"/>
  <c r="R44" s="1"/>
  <c r="L34"/>
  <c r="R34" s="1"/>
  <c r="X34" s="1"/>
  <c r="L37"/>
  <c r="R37" s="1"/>
  <c r="X37" s="1"/>
  <c r="L38"/>
  <c r="R38" s="1"/>
  <c r="X38" s="1"/>
  <c r="L39"/>
  <c r="R39" s="1"/>
  <c r="X39" s="1"/>
  <c r="R40"/>
  <c r="X40" s="1"/>
  <c r="L42"/>
  <c r="L43"/>
  <c r="L33"/>
  <c r="L28"/>
  <c r="R28" s="1"/>
  <c r="X28" s="1"/>
  <c r="K160"/>
  <c r="Q160" s="1"/>
  <c r="W160" s="1"/>
  <c r="AC160" s="1"/>
  <c r="AI160" s="1"/>
  <c r="AO160" s="1"/>
  <c r="AU160" s="1"/>
  <c r="BA160" s="1"/>
  <c r="BG160" s="1"/>
  <c r="BM160" s="1"/>
  <c r="BS160" s="1"/>
  <c r="BY160" s="1"/>
  <c r="CC160" s="1"/>
  <c r="L32" l="1"/>
  <c r="R33"/>
  <c r="X33" s="1"/>
  <c r="X44"/>
  <c r="AJ44" s="1"/>
  <c r="AP44" s="1"/>
  <c r="AV44" s="1"/>
  <c r="BB44" s="1"/>
  <c r="BH44" s="1"/>
  <c r="BN44" s="1"/>
  <c r="BT44" s="1"/>
  <c r="BZ44" s="1"/>
  <c r="CD44" s="1"/>
  <c r="R42"/>
  <c r="X42" s="1"/>
  <c r="AD42" s="1"/>
  <c r="AJ42" s="1"/>
  <c r="AP42" s="1"/>
  <c r="AV42" s="1"/>
  <c r="BB42" s="1"/>
  <c r="BH42" s="1"/>
  <c r="BN42" s="1"/>
  <c r="BT42" s="1"/>
  <c r="R43"/>
  <c r="X43" s="1"/>
  <c r="AJ43" s="1"/>
  <c r="AP43" s="1"/>
  <c r="AV43" s="1"/>
  <c r="BB43" s="1"/>
  <c r="BH43" s="1"/>
  <c r="BN43" s="1"/>
  <c r="BT43" s="1"/>
  <c r="BZ43" s="1"/>
  <c r="CD43" s="1"/>
  <c r="X27"/>
  <c r="J18" i="52"/>
  <c r="K14" i="46"/>
  <c r="R32" l="1"/>
  <c r="J19" i="52" s="1"/>
  <c r="X32" i="46"/>
  <c r="C59" i="23"/>
  <c r="C55"/>
  <c r="C11"/>
  <c r="CB143" i="46"/>
  <c r="CB120"/>
  <c r="CA97"/>
  <c r="CA77"/>
  <c r="BZ42" l="1"/>
  <c r="CD42" s="1"/>
  <c r="CB119"/>
  <c r="CB163" s="1"/>
  <c r="D60" i="73" l="1"/>
  <c r="BU103" i="46" l="1"/>
  <c r="BU143"/>
  <c r="BU163" s="1"/>
  <c r="BP55" l="1"/>
  <c r="BP73"/>
  <c r="BP77"/>
  <c r="BP79"/>
  <c r="BP83"/>
  <c r="BP86"/>
  <c r="BP97"/>
  <c r="BP103"/>
  <c r="D17" i="67"/>
  <c r="C17"/>
  <c r="B17"/>
  <c r="BE103" i="46" l="1"/>
  <c r="BF103"/>
  <c r="BG103"/>
  <c r="BE144"/>
  <c r="AY169"/>
  <c r="BE143" l="1"/>
  <c r="BD103" l="1"/>
  <c r="BC103"/>
  <c r="BD97"/>
  <c r="BD86"/>
  <c r="B36" i="67"/>
  <c r="E36" s="1"/>
  <c r="B23"/>
  <c r="B19"/>
  <c r="C19"/>
  <c r="B15"/>
  <c r="C15"/>
  <c r="B38"/>
  <c r="C36"/>
  <c r="F36" s="1"/>
  <c r="B34"/>
  <c r="C23"/>
  <c r="C34" s="1"/>
  <c r="D19"/>
  <c r="D15"/>
  <c r="D36"/>
  <c r="G36" s="1"/>
  <c r="D23"/>
  <c r="D34" s="1"/>
  <c r="AS79" i="46"/>
  <c r="AT79"/>
  <c r="AS97"/>
  <c r="AT97"/>
  <c r="AT103"/>
  <c r="AQ120"/>
  <c r="AQ119" s="1"/>
  <c r="AM7"/>
  <c r="AK144"/>
  <c r="AK143" s="1"/>
  <c r="AJ144"/>
  <c r="AL144"/>
  <c r="AM144"/>
  <c r="AM143" s="1"/>
  <c r="AN144"/>
  <c r="AN143" s="1"/>
  <c r="AP144"/>
  <c r="AQ144"/>
  <c r="AQ143" s="1"/>
  <c r="AJ143"/>
  <c r="AL143"/>
  <c r="AL103"/>
  <c r="AQ163" l="1"/>
  <c r="D38" i="67"/>
  <c r="D39" s="1"/>
  <c r="C38"/>
  <c r="C39" s="1"/>
  <c r="D20"/>
  <c r="C20"/>
  <c r="BD96" i="46"/>
  <c r="B20" i="67"/>
  <c r="B39"/>
  <c r="AG5" i="46" l="1"/>
  <c r="AG25" s="1"/>
  <c r="AE5"/>
  <c r="AE25" s="1"/>
  <c r="AF103"/>
  <c r="AF55"/>
  <c r="AF5"/>
  <c r="AF25" s="1"/>
  <c r="AF86"/>
  <c r="AF77"/>
  <c r="AJ40"/>
  <c r="AP40" s="1"/>
  <c r="AV40" s="1"/>
  <c r="AH5"/>
  <c r="AH25" s="1"/>
  <c r="BB40" l="1"/>
  <c r="BH40" s="1"/>
  <c r="Z103"/>
  <c r="Z99"/>
  <c r="Z97"/>
  <c r="AD97" s="1"/>
  <c r="Z86"/>
  <c r="Z73"/>
  <c r="Z55"/>
  <c r="Y5"/>
  <c r="Y25" s="1"/>
  <c r="Z5"/>
  <c r="Z25" s="1"/>
  <c r="Z77"/>
  <c r="Z79"/>
  <c r="Y144"/>
  <c r="Y143" s="1"/>
  <c r="BN40" l="1"/>
  <c r="T99"/>
  <c r="T103"/>
  <c r="BT40" l="1"/>
  <c r="BZ40" s="1"/>
  <c r="CD40" s="1"/>
  <c r="S103"/>
  <c r="U103"/>
  <c r="V103"/>
  <c r="W103"/>
  <c r="Y103"/>
  <c r="AA103"/>
  <c r="AB103"/>
  <c r="AC103"/>
  <c r="AE103"/>
  <c r="AG103"/>
  <c r="AH103"/>
  <c r="AI103"/>
  <c r="AK103"/>
  <c r="AM103"/>
  <c r="AN103"/>
  <c r="AO103"/>
  <c r="AQ103"/>
  <c r="AR103"/>
  <c r="AS103"/>
  <c r="AU103"/>
  <c r="AW103"/>
  <c r="AX103"/>
  <c r="AY103"/>
  <c r="AZ103"/>
  <c r="BA103"/>
  <c r="BI103"/>
  <c r="BJ103"/>
  <c r="BK103"/>
  <c r="BL103"/>
  <c r="BM103"/>
  <c r="BO103"/>
  <c r="BQ103"/>
  <c r="BR103"/>
  <c r="BS103"/>
  <c r="BW103"/>
  <c r="BX103"/>
  <c r="BY103"/>
  <c r="CB103"/>
  <c r="CC103"/>
  <c r="C30" i="23" l="1"/>
  <c r="C33"/>
  <c r="C37"/>
  <c r="C40"/>
  <c r="L61" i="46"/>
  <c r="R61" s="1"/>
  <c r="X61" s="1"/>
  <c r="AJ61" s="1"/>
  <c r="AP61" s="1"/>
  <c r="AV61" s="1"/>
  <c r="BB61" s="1"/>
  <c r="L62"/>
  <c r="L63"/>
  <c r="L64"/>
  <c r="R64" s="1"/>
  <c r="L65"/>
  <c r="L66"/>
  <c r="L67"/>
  <c r="L68"/>
  <c r="L69"/>
  <c r="L70"/>
  <c r="L71"/>
  <c r="K132"/>
  <c r="K156"/>
  <c r="Q156" s="1"/>
  <c r="W156" s="1"/>
  <c r="AC156" s="1"/>
  <c r="AI156" s="1"/>
  <c r="AO156" s="1"/>
  <c r="AU156" s="1"/>
  <c r="K157"/>
  <c r="Q157" s="1"/>
  <c r="W157" s="1"/>
  <c r="AC157" s="1"/>
  <c r="AI157" s="1"/>
  <c r="AO157" s="1"/>
  <c r="AU157" s="1"/>
  <c r="BA157" s="1"/>
  <c r="BG157" s="1"/>
  <c r="BM157" s="1"/>
  <c r="BS157" s="1"/>
  <c r="K152"/>
  <c r="Q152" s="1"/>
  <c r="W152" s="1"/>
  <c r="K148"/>
  <c r="Q148" s="1"/>
  <c r="J120"/>
  <c r="I120"/>
  <c r="H120"/>
  <c r="H119" s="1"/>
  <c r="I103"/>
  <c r="J103"/>
  <c r="H103"/>
  <c r="G103"/>
  <c r="L110"/>
  <c r="R110" s="1"/>
  <c r="L112"/>
  <c r="R112" s="1"/>
  <c r="L113"/>
  <c r="R113" s="1"/>
  <c r="L114"/>
  <c r="R114" s="1"/>
  <c r="X114" s="1"/>
  <c r="L109"/>
  <c r="C60" i="23" l="1"/>
  <c r="C68" s="1"/>
  <c r="BH61" i="46"/>
  <c r="BN61" s="1"/>
  <c r="BT61" s="1"/>
  <c r="BZ61" s="1"/>
  <c r="X64"/>
  <c r="AJ64" s="1"/>
  <c r="AP64" s="1"/>
  <c r="AV64" s="1"/>
  <c r="BB64" s="1"/>
  <c r="BH64" s="1"/>
  <c r="BN64" s="1"/>
  <c r="BT64" s="1"/>
  <c r="BZ64" s="1"/>
  <c r="CD64" s="1"/>
  <c r="H83"/>
  <c r="CD61" l="1"/>
  <c r="CA5" l="1"/>
  <c r="CA25" s="1"/>
  <c r="CD5" l="1"/>
  <c r="CD25" s="1"/>
  <c r="BW143"/>
  <c r="BY157"/>
  <c r="CC157" s="1"/>
  <c r="BZ114"/>
  <c r="CD114" s="1"/>
  <c r="BW77"/>
  <c r="BX77"/>
  <c r="CF120" l="1"/>
  <c r="CF121" l="1"/>
  <c r="CF123" s="1"/>
  <c r="BA156" l="1"/>
  <c r="BG156" s="1"/>
  <c r="BM156" s="1"/>
  <c r="BS156" s="1"/>
  <c r="BY156" s="1"/>
  <c r="CC156" s="1"/>
  <c r="AY120"/>
  <c r="AY119" s="1"/>
  <c r="AY97"/>
  <c r="AZ97"/>
  <c r="AY86"/>
  <c r="AZ86"/>
  <c r="AY83"/>
  <c r="AZ83"/>
  <c r="AY79"/>
  <c r="AZ79"/>
  <c r="AY77"/>
  <c r="AZ77"/>
  <c r="AY73"/>
  <c r="AZ73"/>
  <c r="AZ55"/>
  <c r="AZ5"/>
  <c r="AZ25" s="1"/>
  <c r="AY55"/>
  <c r="AX120"/>
  <c r="AX119" s="1"/>
  <c r="AX55"/>
  <c r="AX77"/>
  <c r="AX79"/>
  <c r="AW120"/>
  <c r="AW5"/>
  <c r="AW25" s="1"/>
  <c r="AX5"/>
  <c r="AX25" s="1"/>
  <c r="AR77" l="1"/>
  <c r="AR73"/>
  <c r="AQ73"/>
  <c r="AM120"/>
  <c r="AN120"/>
  <c r="AL86"/>
  <c r="AK5"/>
  <c r="AK25" s="1"/>
  <c r="AL79"/>
  <c r="AL120"/>
  <c r="AK120"/>
  <c r="AE144"/>
  <c r="AF144"/>
  <c r="AH144"/>
  <c r="AG144"/>
  <c r="AF97"/>
  <c r="AM168" l="1"/>
  <c r="AM171" s="1"/>
  <c r="AA144" l="1"/>
  <c r="Z120"/>
  <c r="AA120"/>
  <c r="AB120"/>
  <c r="Z144"/>
  <c r="AB144"/>
  <c r="S99"/>
  <c r="U99"/>
  <c r="V99"/>
  <c r="W99"/>
  <c r="X110"/>
  <c r="AJ110" s="1"/>
  <c r="AP110" s="1"/>
  <c r="AV110" s="1"/>
  <c r="BB110" s="1"/>
  <c r="X112"/>
  <c r="X113"/>
  <c r="AJ113" s="1"/>
  <c r="AP113" s="1"/>
  <c r="AV113" s="1"/>
  <c r="BB113" s="1"/>
  <c r="BH113" s="1"/>
  <c r="BN113" s="1"/>
  <c r="BT113" s="1"/>
  <c r="T86"/>
  <c r="W148"/>
  <c r="W150"/>
  <c r="AC148" l="1"/>
  <c r="AI148" s="1"/>
  <c r="AO148" s="1"/>
  <c r="AI150"/>
  <c r="AO150" s="1"/>
  <c r="AU150" s="1"/>
  <c r="BA150" s="1"/>
  <c r="BG150" s="1"/>
  <c r="AJ112"/>
  <c r="AP112" s="1"/>
  <c r="AV112" s="1"/>
  <c r="BB112" s="1"/>
  <c r="BH112" s="1"/>
  <c r="AA143"/>
  <c r="AC152"/>
  <c r="AI152" s="1"/>
  <c r="AU148" l="1"/>
  <c r="AO152"/>
  <c r="S120"/>
  <c r="S119" s="1"/>
  <c r="AU152" l="1"/>
  <c r="BA152" l="1"/>
  <c r="CG148" l="1"/>
  <c r="CA143" l="1"/>
  <c r="CA120"/>
  <c r="CB97"/>
  <c r="CB86"/>
  <c r="CB83"/>
  <c r="CB79"/>
  <c r="CB77"/>
  <c r="CB73"/>
  <c r="CB55"/>
  <c r="CA119"/>
  <c r="CA163" l="1"/>
  <c r="BZ113" l="1"/>
  <c r="CD113" s="1"/>
  <c r="BT144" l="1"/>
  <c r="BR144"/>
  <c r="BQ144"/>
  <c r="BP144"/>
  <c r="BO144"/>
  <c r="BN120" l="1"/>
  <c r="BM150"/>
  <c r="BS150" s="1"/>
  <c r="BY150" s="1"/>
  <c r="CC150" s="1"/>
  <c r="BA148"/>
  <c r="BL144"/>
  <c r="BK144"/>
  <c r="BJ144"/>
  <c r="BN112"/>
  <c r="BG55"/>
  <c r="BG73"/>
  <c r="BG77"/>
  <c r="BG79"/>
  <c r="BG83"/>
  <c r="BG86"/>
  <c r="BG85" s="1"/>
  <c r="BG97"/>
  <c r="BH144"/>
  <c r="BH143" s="1"/>
  <c r="BG148" l="1"/>
  <c r="BM148" s="1"/>
  <c r="BS148" s="1"/>
  <c r="BY148" s="1"/>
  <c r="CC148" s="1"/>
  <c r="BT112"/>
  <c r="BZ112" s="1"/>
  <c r="CD112" s="1"/>
  <c r="BG96"/>
  <c r="AS172" l="1"/>
  <c r="AF99"/>
  <c r="AF85"/>
  <c r="AF73"/>
  <c r="AE143"/>
  <c r="AE120"/>
  <c r="AE119" l="1"/>
  <c r="AE163" s="1"/>
  <c r="AF54"/>
  <c r="AF96"/>
  <c r="BH110"/>
  <c r="BG152"/>
  <c r="BN110" l="1"/>
  <c r="BT110" s="1"/>
  <c r="BZ110" s="1"/>
  <c r="CD110" s="1"/>
  <c r="BM152"/>
  <c r="BS152" l="1"/>
  <c r="BY152" l="1"/>
  <c r="CC152" l="1"/>
  <c r="M119" l="1"/>
  <c r="H5" l="1"/>
  <c r="H25" s="1"/>
  <c r="G5"/>
  <c r="G25" s="1"/>
  <c r="L88"/>
  <c r="L90"/>
  <c r="R90" s="1"/>
  <c r="L91"/>
  <c r="F5"/>
  <c r="F25" s="1"/>
  <c r="I5"/>
  <c r="I25" s="1"/>
  <c r="J5"/>
  <c r="J25" s="1"/>
  <c r="K7"/>
  <c r="K9"/>
  <c r="Q9" s="1"/>
  <c r="W9" s="1"/>
  <c r="AC9" s="1"/>
  <c r="AI9" s="1"/>
  <c r="AO9" s="1"/>
  <c r="AU9" s="1"/>
  <c r="BA9" s="1"/>
  <c r="Q13"/>
  <c r="Q14"/>
  <c r="I8" i="52" s="1"/>
  <c r="Q15" i="46"/>
  <c r="W15" s="1"/>
  <c r="AC15" s="1"/>
  <c r="AI15" s="1"/>
  <c r="AO15" s="1"/>
  <c r="AU15" s="1"/>
  <c r="BA15" s="1"/>
  <c r="BG15" s="1"/>
  <c r="BM15" s="1"/>
  <c r="BS15" s="1"/>
  <c r="BY15" s="1"/>
  <c r="CC15" s="1"/>
  <c r="Q16"/>
  <c r="K18"/>
  <c r="Q18" s="1"/>
  <c r="Q23"/>
  <c r="I15" i="52" s="1"/>
  <c r="L5" i="46"/>
  <c r="L25" s="1"/>
  <c r="M5"/>
  <c r="M25" s="1"/>
  <c r="N5"/>
  <c r="N25" s="1"/>
  <c r="O5"/>
  <c r="O25" s="1"/>
  <c r="P5"/>
  <c r="P25" s="1"/>
  <c r="R5"/>
  <c r="R25" s="1"/>
  <c r="T5"/>
  <c r="T25" s="1"/>
  <c r="U5"/>
  <c r="U25" s="1"/>
  <c r="V5"/>
  <c r="V25" s="1"/>
  <c r="X5"/>
  <c r="X25" s="1"/>
  <c r="AA5"/>
  <c r="AA25" s="1"/>
  <c r="AB5"/>
  <c r="AB25" s="1"/>
  <c r="AD5"/>
  <c r="AD25" s="1"/>
  <c r="AJ5"/>
  <c r="AL5"/>
  <c r="AL25" s="1"/>
  <c r="AM5"/>
  <c r="AM25" s="1"/>
  <c r="AN5"/>
  <c r="AN25" s="1"/>
  <c r="AP5"/>
  <c r="AP25" s="1"/>
  <c r="AQ5"/>
  <c r="AQ25" s="1"/>
  <c r="AR5"/>
  <c r="AR25" s="1"/>
  <c r="AS5"/>
  <c r="AS25" s="1"/>
  <c r="AT5"/>
  <c r="AT25" s="1"/>
  <c r="AY5"/>
  <c r="AY25" s="1"/>
  <c r="BB5"/>
  <c r="BB25" s="1"/>
  <c r="BC5"/>
  <c r="BC25" s="1"/>
  <c r="BD5"/>
  <c r="BD25" s="1"/>
  <c r="BE5"/>
  <c r="BE25" s="1"/>
  <c r="BF5"/>
  <c r="BF25" s="1"/>
  <c r="BH5"/>
  <c r="BH25" s="1"/>
  <c r="BI5"/>
  <c r="BI25" s="1"/>
  <c r="BJ5"/>
  <c r="BJ25" s="1"/>
  <c r="BK5"/>
  <c r="BK25" s="1"/>
  <c r="BL5"/>
  <c r="BL25" s="1"/>
  <c r="BN5"/>
  <c r="BN25" s="1"/>
  <c r="BO5"/>
  <c r="BO25" s="1"/>
  <c r="BP5"/>
  <c r="BP25" s="1"/>
  <c r="BQ5"/>
  <c r="BQ25" s="1"/>
  <c r="BR5"/>
  <c r="BR25" s="1"/>
  <c r="BT5"/>
  <c r="BT25" s="1"/>
  <c r="BV5"/>
  <c r="BV25" s="1"/>
  <c r="BZ5"/>
  <c r="BZ25" s="1"/>
  <c r="CB5"/>
  <c r="CB25" s="1"/>
  <c r="L29"/>
  <c r="L30"/>
  <c r="L31"/>
  <c r="R31" s="1"/>
  <c r="X31" s="1"/>
  <c r="AD31" s="1"/>
  <c r="AJ31" s="1"/>
  <c r="AP31" s="1"/>
  <c r="AV31" s="1"/>
  <c r="BB31" s="1"/>
  <c r="BH31" s="1"/>
  <c r="BN31" s="1"/>
  <c r="BT31" s="1"/>
  <c r="BZ31" s="1"/>
  <c r="CD31" s="1"/>
  <c r="AJ34"/>
  <c r="AJ37"/>
  <c r="AP37" s="1"/>
  <c r="AV37" s="1"/>
  <c r="BB37" s="1"/>
  <c r="BH37" s="1"/>
  <c r="BN37" s="1"/>
  <c r="BT37" s="1"/>
  <c r="BZ37" s="1"/>
  <c r="CD37" s="1"/>
  <c r="AJ38"/>
  <c r="AP38" s="1"/>
  <c r="AV38" s="1"/>
  <c r="AJ39"/>
  <c r="AP39" s="1"/>
  <c r="AV39" s="1"/>
  <c r="BB39" s="1"/>
  <c r="BH39" s="1"/>
  <c r="BN39" s="1"/>
  <c r="BT39" s="1"/>
  <c r="BZ39" s="1"/>
  <c r="CD39" s="1"/>
  <c r="E32"/>
  <c r="E52" s="1"/>
  <c r="K145"/>
  <c r="K146"/>
  <c r="K147"/>
  <c r="F55"/>
  <c r="F59"/>
  <c r="F73"/>
  <c r="F77"/>
  <c r="F79"/>
  <c r="F83"/>
  <c r="F86"/>
  <c r="F85" s="1"/>
  <c r="F97"/>
  <c r="F99"/>
  <c r="F103"/>
  <c r="G55"/>
  <c r="G59"/>
  <c r="G73"/>
  <c r="G77"/>
  <c r="G79"/>
  <c r="G83"/>
  <c r="G86"/>
  <c r="G85" s="1"/>
  <c r="G97"/>
  <c r="G99"/>
  <c r="H85"/>
  <c r="H97"/>
  <c r="H99"/>
  <c r="I55"/>
  <c r="I73"/>
  <c r="I77"/>
  <c r="I79"/>
  <c r="I83"/>
  <c r="I86"/>
  <c r="I85" s="1"/>
  <c r="I97"/>
  <c r="I99"/>
  <c r="J55"/>
  <c r="J73"/>
  <c r="J77"/>
  <c r="J79"/>
  <c r="J83"/>
  <c r="J86"/>
  <c r="J85" s="1"/>
  <c r="J97"/>
  <c r="J99"/>
  <c r="K55"/>
  <c r="K73"/>
  <c r="K77"/>
  <c r="K79"/>
  <c r="K83"/>
  <c r="K86"/>
  <c r="K85" s="1"/>
  <c r="K97"/>
  <c r="K99"/>
  <c r="L56"/>
  <c r="L57"/>
  <c r="R57" s="1"/>
  <c r="X57" s="1"/>
  <c r="L58"/>
  <c r="R58" s="1"/>
  <c r="X58" s="1"/>
  <c r="AD58" s="1"/>
  <c r="AJ58" s="1"/>
  <c r="AP58" s="1"/>
  <c r="AV58" s="1"/>
  <c r="BB58" s="1"/>
  <c r="BH58" s="1"/>
  <c r="BN58" s="1"/>
  <c r="BT58" s="1"/>
  <c r="BZ58" s="1"/>
  <c r="CD58" s="1"/>
  <c r="L60"/>
  <c r="L59" s="1"/>
  <c r="R63"/>
  <c r="R65"/>
  <c r="X65" s="1"/>
  <c r="AJ65" s="1"/>
  <c r="AP65" s="1"/>
  <c r="R66"/>
  <c r="X66" s="1"/>
  <c r="AJ66" s="1"/>
  <c r="AP66" s="1"/>
  <c r="AV66" s="1"/>
  <c r="BB66" s="1"/>
  <c r="R67"/>
  <c r="R68"/>
  <c r="X68" s="1"/>
  <c r="AD68" s="1"/>
  <c r="AJ68" s="1"/>
  <c r="AP68" s="1"/>
  <c r="AV68" s="1"/>
  <c r="R71"/>
  <c r="X71" s="1"/>
  <c r="L74"/>
  <c r="H27" i="23" s="1"/>
  <c r="L75" i="46"/>
  <c r="L76"/>
  <c r="H29" i="23" s="1"/>
  <c r="L78" i="46"/>
  <c r="L77" s="1"/>
  <c r="L80"/>
  <c r="L81"/>
  <c r="R81" s="1"/>
  <c r="X81" s="1"/>
  <c r="AJ81" s="1"/>
  <c r="AP81" s="1"/>
  <c r="AV81" s="1"/>
  <c r="BB81" s="1"/>
  <c r="BH81" s="1"/>
  <c r="BN81" s="1"/>
  <c r="BT81" s="1"/>
  <c r="BZ81" s="1"/>
  <c r="CD81" s="1"/>
  <c r="L82"/>
  <c r="R82" s="1"/>
  <c r="L84"/>
  <c r="L83" s="1"/>
  <c r="L89"/>
  <c r="L92"/>
  <c r="R92" s="1"/>
  <c r="X92" s="1"/>
  <c r="AD92" s="1"/>
  <c r="L93"/>
  <c r="R93" s="1"/>
  <c r="X93" s="1"/>
  <c r="AD93" s="1"/>
  <c r="AJ93" s="1"/>
  <c r="AP93" s="1"/>
  <c r="AV93" s="1"/>
  <c r="BB93" s="1"/>
  <c r="BH93" s="1"/>
  <c r="BN93" s="1"/>
  <c r="BT93" s="1"/>
  <c r="BZ93" s="1"/>
  <c r="CD93" s="1"/>
  <c r="L94"/>
  <c r="L95"/>
  <c r="R95" s="1"/>
  <c r="X95" s="1"/>
  <c r="AD95" s="1"/>
  <c r="AJ95" s="1"/>
  <c r="AP95" s="1"/>
  <c r="AV95" s="1"/>
  <c r="BB95" s="1"/>
  <c r="BH95" s="1"/>
  <c r="BN95" s="1"/>
  <c r="BT95" s="1"/>
  <c r="BZ95" s="1"/>
  <c r="CD95" s="1"/>
  <c r="L100"/>
  <c r="L101"/>
  <c r="R101" s="1"/>
  <c r="X101" s="1"/>
  <c r="AD101" s="1"/>
  <c r="AJ101" s="1"/>
  <c r="AP101" s="1"/>
  <c r="L104"/>
  <c r="L105"/>
  <c r="L106"/>
  <c r="L107"/>
  <c r="R107" s="1"/>
  <c r="L108"/>
  <c r="R108" s="1"/>
  <c r="X108" s="1"/>
  <c r="AJ108" s="1"/>
  <c r="AP108" s="1"/>
  <c r="AV108" s="1"/>
  <c r="BB108" s="1"/>
  <c r="BH108" s="1"/>
  <c r="BN108" s="1"/>
  <c r="BT108" s="1"/>
  <c r="BZ108" s="1"/>
  <c r="CD108" s="1"/>
  <c r="M55"/>
  <c r="M73"/>
  <c r="M77"/>
  <c r="M79"/>
  <c r="M83"/>
  <c r="M86"/>
  <c r="M85" s="1"/>
  <c r="M97"/>
  <c r="M99"/>
  <c r="M103"/>
  <c r="N73"/>
  <c r="N83"/>
  <c r="N85"/>
  <c r="N99"/>
  <c r="O55"/>
  <c r="O85"/>
  <c r="O99"/>
  <c r="P55"/>
  <c r="P85"/>
  <c r="P99"/>
  <c r="Q55"/>
  <c r="Q73"/>
  <c r="Q77"/>
  <c r="Q79"/>
  <c r="Q83"/>
  <c r="Q86"/>
  <c r="Q85" s="1"/>
  <c r="Q97"/>
  <c r="Q99"/>
  <c r="Q103"/>
  <c r="R56"/>
  <c r="R55" s="1"/>
  <c r="R60"/>
  <c r="R69"/>
  <c r="X69" s="1"/>
  <c r="AD69" s="1"/>
  <c r="AJ69" s="1"/>
  <c r="AP69" s="1"/>
  <c r="AV69" s="1"/>
  <c r="BB69" s="1"/>
  <c r="R70"/>
  <c r="X70" s="1"/>
  <c r="AD70" s="1"/>
  <c r="AJ70" s="1"/>
  <c r="AP70" s="1"/>
  <c r="AV70" s="1"/>
  <c r="R78"/>
  <c r="R77" s="1"/>
  <c r="X82"/>
  <c r="AJ82" s="1"/>
  <c r="R100"/>
  <c r="R106"/>
  <c r="X106" s="1"/>
  <c r="R109"/>
  <c r="X109" s="1"/>
  <c r="AJ109" s="1"/>
  <c r="AP109" s="1"/>
  <c r="AV109" s="1"/>
  <c r="BB109" s="1"/>
  <c r="BH109" s="1"/>
  <c r="BN109" s="1"/>
  <c r="BT109" s="1"/>
  <c r="BZ109" s="1"/>
  <c r="S55"/>
  <c r="S73"/>
  <c r="S77"/>
  <c r="S79"/>
  <c r="S83"/>
  <c r="S86"/>
  <c r="S85" s="1"/>
  <c r="S97"/>
  <c r="S96" s="1"/>
  <c r="T55"/>
  <c r="T73"/>
  <c r="T77"/>
  <c r="T79"/>
  <c r="T83"/>
  <c r="T85"/>
  <c r="T97"/>
  <c r="U55"/>
  <c r="U85"/>
  <c r="U96"/>
  <c r="V55"/>
  <c r="V85"/>
  <c r="V96"/>
  <c r="W55"/>
  <c r="W73"/>
  <c r="W77"/>
  <c r="W79"/>
  <c r="W83"/>
  <c r="W86"/>
  <c r="W85" s="1"/>
  <c r="W97"/>
  <c r="W96" s="1"/>
  <c r="Y55"/>
  <c r="Y73"/>
  <c r="Y77"/>
  <c r="Y79"/>
  <c r="Y83"/>
  <c r="Y86"/>
  <c r="Y85" s="1"/>
  <c r="Y97"/>
  <c r="Y99"/>
  <c r="Z83"/>
  <c r="Z85"/>
  <c r="AA55"/>
  <c r="AA85"/>
  <c r="AA99"/>
  <c r="AA96" s="1"/>
  <c r="AB55"/>
  <c r="AB85"/>
  <c r="AB99"/>
  <c r="AB96" s="1"/>
  <c r="AC55"/>
  <c r="AC73"/>
  <c r="AC77"/>
  <c r="AC79"/>
  <c r="AC83"/>
  <c r="AC86"/>
  <c r="AC85" s="1"/>
  <c r="AC97"/>
  <c r="AC99"/>
  <c r="AD71"/>
  <c r="AJ71" s="1"/>
  <c r="AP71" s="1"/>
  <c r="AV71" s="1"/>
  <c r="BB71" s="1"/>
  <c r="AE55"/>
  <c r="AE73"/>
  <c r="AE77"/>
  <c r="AE79"/>
  <c r="AE83"/>
  <c r="AE86"/>
  <c r="AE85" s="1"/>
  <c r="AE97"/>
  <c r="AE99"/>
  <c r="AG55"/>
  <c r="AG85"/>
  <c r="AG99"/>
  <c r="AH55"/>
  <c r="AH85"/>
  <c r="AH99"/>
  <c r="AH96" s="1"/>
  <c r="AI55"/>
  <c r="AI73"/>
  <c r="AI77"/>
  <c r="AI79"/>
  <c r="AI83"/>
  <c r="AI86"/>
  <c r="AI85" s="1"/>
  <c r="AI97"/>
  <c r="AI99"/>
  <c r="AJ92"/>
  <c r="AP92" s="1"/>
  <c r="AV92" s="1"/>
  <c r="BB92" s="1"/>
  <c r="BH92" s="1"/>
  <c r="BN92" s="1"/>
  <c r="BT92" s="1"/>
  <c r="BZ92" s="1"/>
  <c r="CD92" s="1"/>
  <c r="AK55"/>
  <c r="AK73"/>
  <c r="AK77"/>
  <c r="AK79"/>
  <c r="AK83"/>
  <c r="AK86"/>
  <c r="AK85" s="1"/>
  <c r="AK97"/>
  <c r="AK99"/>
  <c r="AL55"/>
  <c r="AL73"/>
  <c r="AL77"/>
  <c r="AL83"/>
  <c r="AL85"/>
  <c r="AL97"/>
  <c r="AM55"/>
  <c r="AM85"/>
  <c r="AM96"/>
  <c r="AN55"/>
  <c r="AN85"/>
  <c r="AN96"/>
  <c r="AO55"/>
  <c r="AO73"/>
  <c r="AO77"/>
  <c r="AO79"/>
  <c r="AO83"/>
  <c r="AO86"/>
  <c r="AO85" s="1"/>
  <c r="AO97"/>
  <c r="AQ55"/>
  <c r="AQ77"/>
  <c r="AQ79"/>
  <c r="AQ83"/>
  <c r="AQ86"/>
  <c r="AQ85" s="1"/>
  <c r="AQ97"/>
  <c r="AR85"/>
  <c r="AS55"/>
  <c r="AS85"/>
  <c r="AT55"/>
  <c r="AT85"/>
  <c r="AU73"/>
  <c r="AU77"/>
  <c r="AU79"/>
  <c r="AU83"/>
  <c r="AU86"/>
  <c r="AU85" s="1"/>
  <c r="AU97"/>
  <c r="AW55"/>
  <c r="AW73"/>
  <c r="AW77"/>
  <c r="AW79"/>
  <c r="AW83"/>
  <c r="AW86"/>
  <c r="AW85" s="1"/>
  <c r="AW97"/>
  <c r="AX73"/>
  <c r="AX83"/>
  <c r="AX85"/>
  <c r="AX97"/>
  <c r="AY54"/>
  <c r="AY85"/>
  <c r="AY96"/>
  <c r="AZ85"/>
  <c r="AZ96"/>
  <c r="BA55"/>
  <c r="BA73"/>
  <c r="BA77"/>
  <c r="BA79"/>
  <c r="BA83"/>
  <c r="BA86"/>
  <c r="BA85" s="1"/>
  <c r="BA97"/>
  <c r="BC55"/>
  <c r="BC73"/>
  <c r="BC77"/>
  <c r="BC79"/>
  <c r="BC83"/>
  <c r="BC86"/>
  <c r="BC85" s="1"/>
  <c r="BC97"/>
  <c r="BD55"/>
  <c r="BD73"/>
  <c r="BD77"/>
  <c r="BD79"/>
  <c r="BD83"/>
  <c r="BD85"/>
  <c r="BE55"/>
  <c r="BE85"/>
  <c r="BE96"/>
  <c r="BF55"/>
  <c r="BF85"/>
  <c r="BF96"/>
  <c r="BG54"/>
  <c r="BG117" s="1"/>
  <c r="BI55"/>
  <c r="BI73"/>
  <c r="BI77"/>
  <c r="BI79"/>
  <c r="BI83"/>
  <c r="BI86"/>
  <c r="BI85" s="1"/>
  <c r="BI97"/>
  <c r="BJ55"/>
  <c r="BJ73"/>
  <c r="BJ77"/>
  <c r="BJ79"/>
  <c r="BJ83"/>
  <c r="BJ86"/>
  <c r="BJ85" s="1"/>
  <c r="BJ97"/>
  <c r="BK55"/>
  <c r="BK85"/>
  <c r="BK96"/>
  <c r="BL55"/>
  <c r="BL85"/>
  <c r="BL96"/>
  <c r="BM55"/>
  <c r="BM73"/>
  <c r="BM77"/>
  <c r="BM79"/>
  <c r="BM83"/>
  <c r="BM86"/>
  <c r="BM85" s="1"/>
  <c r="BM97"/>
  <c r="BO55"/>
  <c r="BO73"/>
  <c r="BO77"/>
  <c r="BO79"/>
  <c r="BO83"/>
  <c r="BO86"/>
  <c r="BO85" s="1"/>
  <c r="BO97"/>
  <c r="BP85"/>
  <c r="BQ55"/>
  <c r="BQ85"/>
  <c r="BR55"/>
  <c r="BR85"/>
  <c r="BS55"/>
  <c r="BS73"/>
  <c r="BS77"/>
  <c r="BS79"/>
  <c r="BS83"/>
  <c r="BS86"/>
  <c r="BS85" s="1"/>
  <c r="BS97"/>
  <c r="BU55"/>
  <c r="BU73"/>
  <c r="BU77"/>
  <c r="BU79"/>
  <c r="BU83"/>
  <c r="BU86"/>
  <c r="BU85" s="1"/>
  <c r="BU97"/>
  <c r="BV83"/>
  <c r="BV85"/>
  <c r="BV97"/>
  <c r="BW55"/>
  <c r="BW85"/>
  <c r="BW96"/>
  <c r="BX55"/>
  <c r="BX85"/>
  <c r="BX96"/>
  <c r="BY55"/>
  <c r="BY73"/>
  <c r="BY77"/>
  <c r="BY79"/>
  <c r="BY83"/>
  <c r="BY86"/>
  <c r="BY85" s="1"/>
  <c r="BY97"/>
  <c r="CA54"/>
  <c r="CA85"/>
  <c r="CB54"/>
  <c r="CB85"/>
  <c r="CB96"/>
  <c r="CC55"/>
  <c r="CC73"/>
  <c r="CC77"/>
  <c r="CC79"/>
  <c r="CC83"/>
  <c r="CC86"/>
  <c r="CC85" s="1"/>
  <c r="CC97"/>
  <c r="E55"/>
  <c r="E59"/>
  <c r="E73"/>
  <c r="E77"/>
  <c r="E79"/>
  <c r="E83"/>
  <c r="E86"/>
  <c r="E85" s="1"/>
  <c r="E97"/>
  <c r="E99"/>
  <c r="E103"/>
  <c r="F120"/>
  <c r="F119" s="1"/>
  <c r="F144"/>
  <c r="F143" s="1"/>
  <c r="G144"/>
  <c r="G143" s="1"/>
  <c r="H144"/>
  <c r="H143" s="1"/>
  <c r="I119"/>
  <c r="I144"/>
  <c r="I143" s="1"/>
  <c r="J119"/>
  <c r="J144"/>
  <c r="J143" s="1"/>
  <c r="K123"/>
  <c r="Q123" s="1"/>
  <c r="K124"/>
  <c r="Q124" s="1"/>
  <c r="K125"/>
  <c r="Q125" s="1"/>
  <c r="W125" s="1"/>
  <c r="AC125" s="1"/>
  <c r="K126"/>
  <c r="Q126" s="1"/>
  <c r="W126" s="1"/>
  <c r="AC126" s="1"/>
  <c r="K127"/>
  <c r="Q127" s="1"/>
  <c r="W127" s="1"/>
  <c r="AC127" s="1"/>
  <c r="K128"/>
  <c r="K129"/>
  <c r="Q129" s="1"/>
  <c r="W129" s="1"/>
  <c r="AC129" s="1"/>
  <c r="AI129" s="1"/>
  <c r="AO129" s="1"/>
  <c r="AU129" s="1"/>
  <c r="BA129" s="1"/>
  <c r="BG129" s="1"/>
  <c r="BM129" s="1"/>
  <c r="BS129" s="1"/>
  <c r="BY129" s="1"/>
  <c r="CC129" s="1"/>
  <c r="K130"/>
  <c r="Q130" s="1"/>
  <c r="I25" i="52" s="1"/>
  <c r="K131" i="46"/>
  <c r="Q132"/>
  <c r="I27" i="52" s="1"/>
  <c r="K133" i="46"/>
  <c r="K134"/>
  <c r="K135"/>
  <c r="K136"/>
  <c r="K137"/>
  <c r="K138"/>
  <c r="K139"/>
  <c r="K140"/>
  <c r="Q140" s="1"/>
  <c r="W140" s="1"/>
  <c r="AC140" s="1"/>
  <c r="AI140" s="1"/>
  <c r="K151"/>
  <c r="Q151" s="1"/>
  <c r="W151" s="1"/>
  <c r="K153"/>
  <c r="Q153" s="1"/>
  <c r="K155"/>
  <c r="Q155" s="1"/>
  <c r="K154"/>
  <c r="Q154" s="1"/>
  <c r="L120"/>
  <c r="L119" s="1"/>
  <c r="L144"/>
  <c r="L143" s="1"/>
  <c r="M163"/>
  <c r="N120"/>
  <c r="N119" s="1"/>
  <c r="N144"/>
  <c r="N143" s="1"/>
  <c r="O120"/>
  <c r="O119" s="1"/>
  <c r="O144"/>
  <c r="O143" s="1"/>
  <c r="P120"/>
  <c r="P119" s="1"/>
  <c r="P144"/>
  <c r="P143" s="1"/>
  <c r="Q128"/>
  <c r="W128" s="1"/>
  <c r="AC128" s="1"/>
  <c r="AI128" s="1"/>
  <c r="AO128" s="1"/>
  <c r="AU128" s="1"/>
  <c r="BA128" s="1"/>
  <c r="BG128" s="1"/>
  <c r="BM128" s="1"/>
  <c r="BS128" s="1"/>
  <c r="BY128" s="1"/>
  <c r="CC128" s="1"/>
  <c r="Q146"/>
  <c r="W146" s="1"/>
  <c r="AC146" s="1"/>
  <c r="AI146" s="1"/>
  <c r="AO146" s="1"/>
  <c r="AU146" s="1"/>
  <c r="BA146" s="1"/>
  <c r="R120"/>
  <c r="R119" s="1"/>
  <c r="R144"/>
  <c r="R143" s="1"/>
  <c r="S144"/>
  <c r="S143" s="1"/>
  <c r="T120"/>
  <c r="T119" s="1"/>
  <c r="T144"/>
  <c r="T143" s="1"/>
  <c r="U120"/>
  <c r="U119" s="1"/>
  <c r="U144"/>
  <c r="U143" s="1"/>
  <c r="V120"/>
  <c r="V119" s="1"/>
  <c r="V144"/>
  <c r="V143" s="1"/>
  <c r="X120"/>
  <c r="X119" s="1"/>
  <c r="X144"/>
  <c r="X143" s="1"/>
  <c r="Y119"/>
  <c r="Z119"/>
  <c r="Z143"/>
  <c r="AA119"/>
  <c r="AB119"/>
  <c r="AB143"/>
  <c r="AD120"/>
  <c r="AD119" s="1"/>
  <c r="AD144"/>
  <c r="AD143" s="1"/>
  <c r="AF120"/>
  <c r="AF119" s="1"/>
  <c r="AF143"/>
  <c r="AG120"/>
  <c r="AG119" s="1"/>
  <c r="AF173" s="1"/>
  <c r="AG143"/>
  <c r="AH120"/>
  <c r="AH119" s="1"/>
  <c r="AH143"/>
  <c r="AJ120"/>
  <c r="AJ119" s="1"/>
  <c r="AK119"/>
  <c r="AL119"/>
  <c r="AM119"/>
  <c r="AN119"/>
  <c r="AP120"/>
  <c r="AP119" s="1"/>
  <c r="AP143"/>
  <c r="AR120"/>
  <c r="AR119" s="1"/>
  <c r="AR144"/>
  <c r="AR143" s="1"/>
  <c r="AS120"/>
  <c r="AS119" s="1"/>
  <c r="AS143"/>
  <c r="AT120"/>
  <c r="AT119" s="1"/>
  <c r="AT144"/>
  <c r="AT143" s="1"/>
  <c r="AW119"/>
  <c r="AW163" s="1"/>
  <c r="AZ120"/>
  <c r="AZ119" s="1"/>
  <c r="BB120"/>
  <c r="BB119" s="1"/>
  <c r="BB163" s="1"/>
  <c r="BC120"/>
  <c r="BC144"/>
  <c r="BC143" s="1"/>
  <c r="BD120"/>
  <c r="BD119" s="1"/>
  <c r="BD144"/>
  <c r="BD143" s="1"/>
  <c r="BE120"/>
  <c r="BE119" s="1"/>
  <c r="BF120"/>
  <c r="BF119" s="1"/>
  <c r="BF144"/>
  <c r="BF143" s="1"/>
  <c r="BH120"/>
  <c r="BH119" s="1"/>
  <c r="BH163" s="1"/>
  <c r="BI120"/>
  <c r="BJ120"/>
  <c r="BJ119" s="1"/>
  <c r="BJ143"/>
  <c r="BK120"/>
  <c r="BK119" s="1"/>
  <c r="BK143"/>
  <c r="BL120"/>
  <c r="BL119" s="1"/>
  <c r="BL143"/>
  <c r="BN119"/>
  <c r="BN144"/>
  <c r="BN143" s="1"/>
  <c r="BO120"/>
  <c r="BO119" s="1"/>
  <c r="BO143"/>
  <c r="BP120"/>
  <c r="BP119" s="1"/>
  <c r="BP143"/>
  <c r="BQ120"/>
  <c r="BQ119" s="1"/>
  <c r="BQ143"/>
  <c r="BR120"/>
  <c r="BR119" s="1"/>
  <c r="BR143"/>
  <c r="BT120"/>
  <c r="BT119" s="1"/>
  <c r="BT143"/>
  <c r="BV120"/>
  <c r="BV119" s="1"/>
  <c r="BV143"/>
  <c r="BW120"/>
  <c r="BW119" s="1"/>
  <c r="BW163" s="1"/>
  <c r="BX120"/>
  <c r="BX119" s="1"/>
  <c r="BX143"/>
  <c r="BZ120"/>
  <c r="BZ119" s="1"/>
  <c r="BZ143"/>
  <c r="CD120"/>
  <c r="CD119" s="1"/>
  <c r="CD143"/>
  <c r="E120"/>
  <c r="E119" s="1"/>
  <c r="E144"/>
  <c r="E143" s="1"/>
  <c r="D8" i="23"/>
  <c r="H8" s="1"/>
  <c r="L8" s="1"/>
  <c r="D10"/>
  <c r="H10" s="1"/>
  <c r="L10" s="1"/>
  <c r="D27"/>
  <c r="D28"/>
  <c r="D29"/>
  <c r="D63"/>
  <c r="D64"/>
  <c r="L164" i="46"/>
  <c r="R164" s="1"/>
  <c r="X164" s="1"/>
  <c r="AD164" s="1"/>
  <c r="L98"/>
  <c r="R98" s="1"/>
  <c r="X98" s="1"/>
  <c r="AD98" s="1"/>
  <c r="AJ98" s="1"/>
  <c r="AP98" s="1"/>
  <c r="AV98" s="1"/>
  <c r="BB98" s="1"/>
  <c r="BH98" s="1"/>
  <c r="BN98" s="1"/>
  <c r="BT98" s="1"/>
  <c r="BZ98" s="1"/>
  <c r="CD98" s="1"/>
  <c r="D5" i="52"/>
  <c r="D37" s="1"/>
  <c r="L11" i="23" l="1"/>
  <c r="L60" s="1"/>
  <c r="L68" s="1"/>
  <c r="P11"/>
  <c r="P60" s="1"/>
  <c r="P68" s="1"/>
  <c r="AP34" i="46"/>
  <c r="AV34" s="1"/>
  <c r="BB34" s="1"/>
  <c r="BH34" s="1"/>
  <c r="BN34" s="1"/>
  <c r="R75"/>
  <c r="X75" s="1"/>
  <c r="H28" i="23"/>
  <c r="W18" i="46"/>
  <c r="AI18" s="1"/>
  <c r="AO18" s="1"/>
  <c r="AU18" s="1"/>
  <c r="BA18" s="1"/>
  <c r="BG18" s="1"/>
  <c r="BM18" s="1"/>
  <c r="BS18" s="1"/>
  <c r="BY18" s="1"/>
  <c r="CC18" s="1"/>
  <c r="I10" i="52"/>
  <c r="X100" i="46"/>
  <c r="X99" s="1"/>
  <c r="R99"/>
  <c r="R105"/>
  <c r="X105" s="1"/>
  <c r="H64" i="23"/>
  <c r="H67" s="1"/>
  <c r="AD90" i="46"/>
  <c r="AJ90" s="1"/>
  <c r="AP90" s="1"/>
  <c r="AV90" s="1"/>
  <c r="BB90" s="1"/>
  <c r="BH90" s="1"/>
  <c r="X90"/>
  <c r="H11" i="23"/>
  <c r="Q120" i="46"/>
  <c r="H30" i="23"/>
  <c r="D67"/>
  <c r="I7" i="52"/>
  <c r="X107" i="46"/>
  <c r="AJ107" s="1"/>
  <c r="X67"/>
  <c r="AJ67" s="1"/>
  <c r="AP67" s="1"/>
  <c r="AV67" s="1"/>
  <c r="BB67" s="1"/>
  <c r="BH67" s="1"/>
  <c r="R88"/>
  <c r="L86"/>
  <c r="L103"/>
  <c r="L99"/>
  <c r="L97"/>
  <c r="K144"/>
  <c r="L52"/>
  <c r="K5"/>
  <c r="W123"/>
  <c r="K120"/>
  <c r="K119" s="1"/>
  <c r="L79"/>
  <c r="L73"/>
  <c r="L55"/>
  <c r="Q136"/>
  <c r="I31" i="52" s="1"/>
  <c r="R29" i="46"/>
  <c r="AJ164"/>
  <c r="BI119"/>
  <c r="BI163" s="1"/>
  <c r="BN169"/>
  <c r="BC119"/>
  <c r="BC163" s="1"/>
  <c r="BD169"/>
  <c r="BD171" s="1"/>
  <c r="AP107"/>
  <c r="AV107" s="1"/>
  <c r="BB107" s="1"/>
  <c r="BH107" s="1"/>
  <c r="BN107" s="1"/>
  <c r="BT107" s="1"/>
  <c r="BR163"/>
  <c r="BQ163"/>
  <c r="AU54"/>
  <c r="AM172"/>
  <c r="BB70"/>
  <c r="BH70" s="1"/>
  <c r="BN70" s="1"/>
  <c r="BT70" s="1"/>
  <c r="BZ70" s="1"/>
  <c r="CD70" s="1"/>
  <c r="BB38"/>
  <c r="BH38" s="1"/>
  <c r="BN38" s="1"/>
  <c r="BT38" s="1"/>
  <c r="BZ38" s="1"/>
  <c r="CD38" s="1"/>
  <c r="AV65"/>
  <c r="BB65" s="1"/>
  <c r="T96"/>
  <c r="AD75"/>
  <c r="BI54"/>
  <c r="X56"/>
  <c r="X55" s="1"/>
  <c r="BQ54"/>
  <c r="BM96"/>
  <c r="AQ96"/>
  <c r="AN54"/>
  <c r="AN117" s="1"/>
  <c r="AM54"/>
  <c r="AL96"/>
  <c r="AI126"/>
  <c r="AO126" s="1"/>
  <c r="AU126" s="1"/>
  <c r="BA126" s="1"/>
  <c r="BG126" s="1"/>
  <c r="BM126" s="1"/>
  <c r="BS126" s="1"/>
  <c r="BY126" s="1"/>
  <c r="CC126" s="1"/>
  <c r="BC96"/>
  <c r="X60"/>
  <c r="R104"/>
  <c r="R94"/>
  <c r="X94" s="1"/>
  <c r="AD94" s="1"/>
  <c r="AJ94" s="1"/>
  <c r="AP94" s="1"/>
  <c r="AV94" s="1"/>
  <c r="BB94" s="1"/>
  <c r="BH94" s="1"/>
  <c r="BN94" s="1"/>
  <c r="BT94" s="1"/>
  <c r="BZ94" s="1"/>
  <c r="CD94" s="1"/>
  <c r="R74"/>
  <c r="BH66"/>
  <c r="BN66" s="1"/>
  <c r="BT66" s="1"/>
  <c r="BZ66" s="1"/>
  <c r="CD66" s="1"/>
  <c r="X63"/>
  <c r="AJ63" s="1"/>
  <c r="AP63" s="1"/>
  <c r="AV63" s="1"/>
  <c r="BB63" s="1"/>
  <c r="E163"/>
  <c r="CD163"/>
  <c r="AT163"/>
  <c r="BX54"/>
  <c r="BL54"/>
  <c r="BF54"/>
  <c r="BE54"/>
  <c r="AC96"/>
  <c r="Q133"/>
  <c r="Q131"/>
  <c r="I26" i="52" s="1"/>
  <c r="AI127" i="46"/>
  <c r="AO127" s="1"/>
  <c r="AU127" s="1"/>
  <c r="BA127" s="1"/>
  <c r="BG127" s="1"/>
  <c r="BM127" s="1"/>
  <c r="BS127" s="1"/>
  <c r="BY127" s="1"/>
  <c r="CC127" s="1"/>
  <c r="AI125"/>
  <c r="AO125" s="1"/>
  <c r="AU125" s="1"/>
  <c r="BA125" s="1"/>
  <c r="BG125" s="1"/>
  <c r="BM125" s="1"/>
  <c r="BS125" s="1"/>
  <c r="BY125" s="1"/>
  <c r="CC125" s="1"/>
  <c r="BH71"/>
  <c r="BN71" s="1"/>
  <c r="BT71" s="1"/>
  <c r="BZ71" s="1"/>
  <c r="CD71" s="1"/>
  <c r="AD56"/>
  <c r="BH69"/>
  <c r="BN69" s="1"/>
  <c r="BT69" s="1"/>
  <c r="BZ69" s="1"/>
  <c r="CD69" s="1"/>
  <c r="BH65"/>
  <c r="R91"/>
  <c r="E54"/>
  <c r="AW54"/>
  <c r="R97"/>
  <c r="K143"/>
  <c r="BT34"/>
  <c r="BW54"/>
  <c r="BW117" s="1"/>
  <c r="R30"/>
  <c r="D55" i="23"/>
  <c r="BN90" i="46"/>
  <c r="BT90" s="1"/>
  <c r="BZ90" s="1"/>
  <c r="CD90" s="1"/>
  <c r="BU96"/>
  <c r="N96"/>
  <c r="H96"/>
  <c r="CF127"/>
  <c r="CF124"/>
  <c r="Q147"/>
  <c r="CC54"/>
  <c r="BY96"/>
  <c r="BS96"/>
  <c r="AK96"/>
  <c r="AI96"/>
  <c r="AG54"/>
  <c r="Z96"/>
  <c r="Y96"/>
  <c r="M96"/>
  <c r="BG146"/>
  <c r="BM146" s="1"/>
  <c r="BS146" s="1"/>
  <c r="BY146" s="1"/>
  <c r="CC146" s="1"/>
  <c r="O163"/>
  <c r="BB68"/>
  <c r="AO140"/>
  <c r="BX117"/>
  <c r="W154"/>
  <c r="BO96"/>
  <c r="BM54"/>
  <c r="BM117" s="1"/>
  <c r="BI96"/>
  <c r="BI117" s="1"/>
  <c r="BE117"/>
  <c r="BA96"/>
  <c r="AZ54"/>
  <c r="AZ117" s="1"/>
  <c r="AS54"/>
  <c r="AQ54"/>
  <c r="AQ117" s="1"/>
  <c r="AG96"/>
  <c r="AC54"/>
  <c r="AC117" s="1"/>
  <c r="AB54"/>
  <c r="AB117" s="1"/>
  <c r="AA54"/>
  <c r="P54"/>
  <c r="W155"/>
  <c r="AC155" s="1"/>
  <c r="AI155" s="1"/>
  <c r="W153"/>
  <c r="W147"/>
  <c r="AC147" s="1"/>
  <c r="D30" i="23"/>
  <c r="BX163" i="46"/>
  <c r="BN163"/>
  <c r="CC96"/>
  <c r="CC117" s="1"/>
  <c r="BO54"/>
  <c r="AO54"/>
  <c r="Q54"/>
  <c r="G54"/>
  <c r="D40" i="23"/>
  <c r="AD163" i="46"/>
  <c r="U163"/>
  <c r="BS54"/>
  <c r="BS117" s="1"/>
  <c r="BL117"/>
  <c r="BA54"/>
  <c r="AX96"/>
  <c r="AH54"/>
  <c r="AH117" s="1"/>
  <c r="AE54"/>
  <c r="O96"/>
  <c r="K54"/>
  <c r="I96"/>
  <c r="G96"/>
  <c r="BT163"/>
  <c r="E96"/>
  <c r="E117" s="1"/>
  <c r="E165" s="1"/>
  <c r="BY54"/>
  <c r="BY117" s="1"/>
  <c r="BU54"/>
  <c r="BU117" s="1"/>
  <c r="BR54"/>
  <c r="BK54"/>
  <c r="AS96"/>
  <c r="AI54"/>
  <c r="AE96"/>
  <c r="W54"/>
  <c r="W117" s="1"/>
  <c r="V54"/>
  <c r="V117" s="1"/>
  <c r="U54"/>
  <c r="U117" s="1"/>
  <c r="Q96"/>
  <c r="P96"/>
  <c r="O54"/>
  <c r="O117" s="1"/>
  <c r="O165" s="1"/>
  <c r="K96"/>
  <c r="J96"/>
  <c r="Q7"/>
  <c r="AA117"/>
  <c r="AA165" s="1"/>
  <c r="N54"/>
  <c r="AD57"/>
  <c r="AJ57" s="1"/>
  <c r="AP57" s="1"/>
  <c r="AV57" s="1"/>
  <c r="I163"/>
  <c r="V163"/>
  <c r="AZ163"/>
  <c r="AT54"/>
  <c r="Q137"/>
  <c r="I32" i="52" s="1"/>
  <c r="X49" i="46"/>
  <c r="BZ107"/>
  <c r="T54"/>
  <c r="T117" s="1"/>
  <c r="X78"/>
  <c r="X77" s="1"/>
  <c r="X48"/>
  <c r="W23"/>
  <c r="AI23" s="1"/>
  <c r="AO23" s="1"/>
  <c r="AU23" s="1"/>
  <c r="BA23" s="1"/>
  <c r="BG23" s="1"/>
  <c r="BM23" s="1"/>
  <c r="BS23" s="1"/>
  <c r="BY23" s="1"/>
  <c r="CC23" s="1"/>
  <c r="Q11"/>
  <c r="W13"/>
  <c r="Q4"/>
  <c r="CB117"/>
  <c r="CB165" s="1"/>
  <c r="CA96"/>
  <c r="CA117" s="1"/>
  <c r="D33" i="23"/>
  <c r="D59"/>
  <c r="D37"/>
  <c r="BX165" i="46"/>
  <c r="BU165"/>
  <c r="CD109"/>
  <c r="BV54"/>
  <c r="BV96"/>
  <c r="AJ105"/>
  <c r="AP105" s="1"/>
  <c r="AV105" s="1"/>
  <c r="BB105" s="1"/>
  <c r="BH105" s="1"/>
  <c r="BN105" s="1"/>
  <c r="BT105" s="1"/>
  <c r="AP82"/>
  <c r="BG9"/>
  <c r="BM9" s="1"/>
  <c r="BS9" s="1"/>
  <c r="BY9" s="1"/>
  <c r="CC9" s="1"/>
  <c r="W136"/>
  <c r="W130"/>
  <c r="Q139"/>
  <c r="I34" i="52" s="1"/>
  <c r="R80" i="46"/>
  <c r="R79" s="1"/>
  <c r="F96"/>
  <c r="R89"/>
  <c r="X89" s="1"/>
  <c r="AD89" s="1"/>
  <c r="AJ89" s="1"/>
  <c r="AP89" s="1"/>
  <c r="AV89" s="1"/>
  <c r="BB89" s="1"/>
  <c r="BH89" s="1"/>
  <c r="BN89" s="1"/>
  <c r="BT89" s="1"/>
  <c r="BZ89" s="1"/>
  <c r="CD89" s="1"/>
  <c r="L85"/>
  <c r="R76"/>
  <c r="X76" s="1"/>
  <c r="AD76" s="1"/>
  <c r="AJ76" s="1"/>
  <c r="AP76" s="1"/>
  <c r="AV76" s="1"/>
  <c r="BB76" s="1"/>
  <c r="BH76" s="1"/>
  <c r="BN76" s="1"/>
  <c r="BT76" s="1"/>
  <c r="W14"/>
  <c r="W132"/>
  <c r="R62"/>
  <c r="R59" s="1"/>
  <c r="AJ36"/>
  <c r="BV163"/>
  <c r="BK117"/>
  <c r="BD163"/>
  <c r="AN163"/>
  <c r="T163"/>
  <c r="P163"/>
  <c r="L163"/>
  <c r="AM117"/>
  <c r="J54"/>
  <c r="J117" s="1"/>
  <c r="F54"/>
  <c r="BZ163"/>
  <c r="BL163"/>
  <c r="BL165" s="1"/>
  <c r="AR163"/>
  <c r="AP163"/>
  <c r="AJ163"/>
  <c r="X163"/>
  <c r="H163"/>
  <c r="BP54"/>
  <c r="BF117"/>
  <c r="AK54"/>
  <c r="S54"/>
  <c r="S117" s="1"/>
  <c r="M54"/>
  <c r="I54"/>
  <c r="I117" s="1"/>
  <c r="Q135"/>
  <c r="I30" i="52" s="1"/>
  <c r="AV101" i="46"/>
  <c r="BB101" s="1"/>
  <c r="BH101" s="1"/>
  <c r="BN101" s="1"/>
  <c r="BT101" s="1"/>
  <c r="BZ101" s="1"/>
  <c r="CD101" s="1"/>
  <c r="Q145"/>
  <c r="D11" i="23"/>
  <c r="D60" s="1"/>
  <c r="Q138" i="46"/>
  <c r="I33" i="52" s="1"/>
  <c r="Q134" i="46"/>
  <c r="I29" i="52" s="1"/>
  <c r="R84" i="46"/>
  <c r="R83" s="1"/>
  <c r="X29"/>
  <c r="AH163"/>
  <c r="BC54"/>
  <c r="BC117" s="1"/>
  <c r="AB163"/>
  <c r="N163"/>
  <c r="BQ96"/>
  <c r="BQ117" s="1"/>
  <c r="Z54"/>
  <c r="Z117" s="1"/>
  <c r="BO163"/>
  <c r="BF163"/>
  <c r="AX163"/>
  <c r="AL163"/>
  <c r="AF163"/>
  <c r="Z163"/>
  <c r="R163"/>
  <c r="J163"/>
  <c r="G163"/>
  <c r="AY117"/>
  <c r="AW96"/>
  <c r="AW117" s="1"/>
  <c r="Y54"/>
  <c r="H54"/>
  <c r="H117" s="1"/>
  <c r="W16"/>
  <c r="AA163"/>
  <c r="S163"/>
  <c r="F163"/>
  <c r="BJ96"/>
  <c r="BD54"/>
  <c r="BD117" s="1"/>
  <c r="AU96"/>
  <c r="AT96"/>
  <c r="AT117" s="1"/>
  <c r="AT165" s="1"/>
  <c r="AO96"/>
  <c r="AO117" s="1"/>
  <c r="BP163"/>
  <c r="Y163"/>
  <c r="BR96"/>
  <c r="BR117" s="1"/>
  <c r="BR165" s="1"/>
  <c r="BP96"/>
  <c r="AD60"/>
  <c r="AD59" s="1"/>
  <c r="BK163"/>
  <c r="BJ163"/>
  <c r="BJ54"/>
  <c r="BE163"/>
  <c r="BE165" s="1"/>
  <c r="AY163"/>
  <c r="AK163"/>
  <c r="AX54"/>
  <c r="AS163"/>
  <c r="AQ165"/>
  <c r="AR96"/>
  <c r="AR54"/>
  <c r="AM163"/>
  <c r="AL54"/>
  <c r="AL117" s="1"/>
  <c r="AG163"/>
  <c r="AI147" l="1"/>
  <c r="AO147" s="1"/>
  <c r="AU147" s="1"/>
  <c r="AC144"/>
  <c r="AD55"/>
  <c r="AJ48"/>
  <c r="Y22" i="52" s="1"/>
  <c r="O22"/>
  <c r="O37" s="1"/>
  <c r="N39" s="1"/>
  <c r="X97" i="46"/>
  <c r="R103"/>
  <c r="X104"/>
  <c r="X103" s="1"/>
  <c r="AC123"/>
  <c r="AI123" s="1"/>
  <c r="AO123" s="1"/>
  <c r="AU123" s="1"/>
  <c r="BA123" s="1"/>
  <c r="BG123" s="1"/>
  <c r="R52"/>
  <c r="H60" i="23"/>
  <c r="H68" s="1"/>
  <c r="AD91" i="46"/>
  <c r="AJ91" s="1"/>
  <c r="AP91" s="1"/>
  <c r="AV91" s="1"/>
  <c r="BB91" s="1"/>
  <c r="BH91" s="1"/>
  <c r="BN91" s="1"/>
  <c r="BT91" s="1"/>
  <c r="BZ91" s="1"/>
  <c r="CD91" s="1"/>
  <c r="X91"/>
  <c r="W133"/>
  <c r="I28" i="52"/>
  <c r="Z117" i="74"/>
  <c r="Z118" s="1"/>
  <c r="Z119" s="1"/>
  <c r="Z117" i="50"/>
  <c r="Z118" s="1"/>
  <c r="Z119" s="1"/>
  <c r="K25" i="46"/>
  <c r="H61" i="73"/>
  <c r="S5" i="46"/>
  <c r="S25" s="1"/>
  <c r="I6" i="52"/>
  <c r="X88" i="46"/>
  <c r="R86"/>
  <c r="K117"/>
  <c r="S165"/>
  <c r="BA117"/>
  <c r="AP164"/>
  <c r="AU117"/>
  <c r="CA165"/>
  <c r="AC151"/>
  <c r="AM165"/>
  <c r="AN165"/>
  <c r="BN65"/>
  <c r="AY165"/>
  <c r="AV82"/>
  <c r="AJ56"/>
  <c r="U165"/>
  <c r="AJ75"/>
  <c r="AP75" s="1"/>
  <c r="AV75" s="1"/>
  <c r="BB75" s="1"/>
  <c r="BH75" s="1"/>
  <c r="BN67"/>
  <c r="BT67" s="1"/>
  <c r="BZ67" s="1"/>
  <c r="CD67" s="1"/>
  <c r="AG117"/>
  <c r="R73"/>
  <c r="Q144"/>
  <c r="Q143" s="1"/>
  <c r="BF165"/>
  <c r="BP117"/>
  <c r="BZ76"/>
  <c r="CD76" s="1"/>
  <c r="BZ34"/>
  <c r="CD34" s="1"/>
  <c r="X62"/>
  <c r="X59" s="1"/>
  <c r="BH68"/>
  <c r="BN68" s="1"/>
  <c r="BT68" s="1"/>
  <c r="BZ68" s="1"/>
  <c r="CD68" s="1"/>
  <c r="BH63"/>
  <c r="BN63" s="1"/>
  <c r="BT63" s="1"/>
  <c r="BZ63" s="1"/>
  <c r="CD63" s="1"/>
  <c r="X74"/>
  <c r="X73" s="1"/>
  <c r="Q119"/>
  <c r="X80"/>
  <c r="X79" s="1"/>
  <c r="Q5"/>
  <c r="P117"/>
  <c r="AI117"/>
  <c r="BO117"/>
  <c r="Y117"/>
  <c r="Y165" s="1"/>
  <c r="AK117"/>
  <c r="AK165" s="1"/>
  <c r="BJ117"/>
  <c r="BJ165" s="1"/>
  <c r="BD165"/>
  <c r="AX117"/>
  <c r="AX165" s="1"/>
  <c r="X30"/>
  <c r="AD30" s="1"/>
  <c r="AJ30" s="1"/>
  <c r="AP30" s="1"/>
  <c r="AV30" s="1"/>
  <c r="BB30" s="1"/>
  <c r="BH30" s="1"/>
  <c r="BN30" s="1"/>
  <c r="BT30" s="1"/>
  <c r="BZ30" s="1"/>
  <c r="CD30" s="1"/>
  <c r="AJ106"/>
  <c r="AS117"/>
  <c r="CD107"/>
  <c r="N117"/>
  <c r="M117"/>
  <c r="M165" s="1"/>
  <c r="AZ165"/>
  <c r="AZ166" s="1"/>
  <c r="BB57"/>
  <c r="BH57" s="1"/>
  <c r="AH165"/>
  <c r="W11"/>
  <c r="AC11" s="1"/>
  <c r="W124"/>
  <c r="W120" s="1"/>
  <c r="W7"/>
  <c r="G117"/>
  <c r="G165" s="1"/>
  <c r="F117"/>
  <c r="F165" s="1"/>
  <c r="F166" s="1"/>
  <c r="J165"/>
  <c r="BK165"/>
  <c r="BL166" s="1"/>
  <c r="AU140"/>
  <c r="BA140" s="1"/>
  <c r="BW165"/>
  <c r="BX166" s="1"/>
  <c r="I165"/>
  <c r="AE117"/>
  <c r="AE165" s="1"/>
  <c r="Q117"/>
  <c r="AC153"/>
  <c r="AI153" s="1"/>
  <c r="AC154"/>
  <c r="AI154" s="1"/>
  <c r="V165"/>
  <c r="V166" s="1"/>
  <c r="W137"/>
  <c r="BV117"/>
  <c r="T165"/>
  <c r="AS165"/>
  <c r="BI165"/>
  <c r="AR117"/>
  <c r="AR165" s="1"/>
  <c r="AR166" s="1"/>
  <c r="AL165"/>
  <c r="W131"/>
  <c r="Z165"/>
  <c r="AC133"/>
  <c r="S28" i="52" s="1"/>
  <c r="BZ105" i="46"/>
  <c r="CD105" s="1"/>
  <c r="R85"/>
  <c r="L54"/>
  <c r="AP48"/>
  <c r="AC13"/>
  <c r="S7" i="52" s="1"/>
  <c r="W4" i="46"/>
  <c r="BO165"/>
  <c r="BP165"/>
  <c r="BQ165"/>
  <c r="BR166" s="1"/>
  <c r="AF117"/>
  <c r="AF165" s="1"/>
  <c r="AJ60"/>
  <c r="X84"/>
  <c r="X83" s="1"/>
  <c r="W145"/>
  <c r="AC132"/>
  <c r="S27" i="52" s="1"/>
  <c r="AC130" i="46"/>
  <c r="S25" i="52" s="1"/>
  <c r="AP36" i="46"/>
  <c r="BC165"/>
  <c r="K163"/>
  <c r="AD29"/>
  <c r="W138"/>
  <c r="AJ78"/>
  <c r="W139"/>
  <c r="AC136"/>
  <c r="S31" i="52" s="1"/>
  <c r="W134" i="46"/>
  <c r="AD100"/>
  <c r="AC14"/>
  <c r="AC16"/>
  <c r="W135"/>
  <c r="L96"/>
  <c r="AC121"/>
  <c r="AW165"/>
  <c r="D68" i="23"/>
  <c r="AG165" i="46"/>
  <c r="H165"/>
  <c r="P165"/>
  <c r="P166" s="1"/>
  <c r="BA147"/>
  <c r="BM123" l="1"/>
  <c r="BS123" s="1"/>
  <c r="BY123" s="1"/>
  <c r="CC123" s="1"/>
  <c r="AP56"/>
  <c r="AP55" s="1"/>
  <c r="AI11"/>
  <c r="AO11" s="1"/>
  <c r="AU11" s="1"/>
  <c r="S6" i="52"/>
  <c r="I24"/>
  <c r="I37" s="1"/>
  <c r="W144" i="46"/>
  <c r="W143" s="1"/>
  <c r="AC7"/>
  <c r="AC5" s="1"/>
  <c r="W5"/>
  <c r="AD88"/>
  <c r="X86"/>
  <c r="W25"/>
  <c r="T166"/>
  <c r="Q25"/>
  <c r="H127" i="73"/>
  <c r="H128" s="1"/>
  <c r="L117" i="46"/>
  <c r="AJ27"/>
  <c r="Y18" i="52" s="1"/>
  <c r="Y37" s="1"/>
  <c r="AV56" i="46"/>
  <c r="AV164"/>
  <c r="AI151"/>
  <c r="BN75"/>
  <c r="BF166"/>
  <c r="BT65"/>
  <c r="BB82"/>
  <c r="AL166"/>
  <c r="AC124"/>
  <c r="AC120" s="1"/>
  <c r="W119"/>
  <c r="N165"/>
  <c r="N166" s="1"/>
  <c r="Q163"/>
  <c r="AJ33"/>
  <c r="R54"/>
  <c r="AD104"/>
  <c r="X85"/>
  <c r="AD74"/>
  <c r="AD73" s="1"/>
  <c r="AC145"/>
  <c r="AV48"/>
  <c r="L165"/>
  <c r="AF166"/>
  <c r="J166"/>
  <c r="AP106"/>
  <c r="H166"/>
  <c r="Z166"/>
  <c r="BG147"/>
  <c r="AT166"/>
  <c r="BD166"/>
  <c r="K165"/>
  <c r="AB166"/>
  <c r="AO155"/>
  <c r="AD52"/>
  <c r="AI7"/>
  <c r="AO7" s="1"/>
  <c r="AN166"/>
  <c r="BV165"/>
  <c r="BV166" s="1"/>
  <c r="BN57"/>
  <c r="AC137"/>
  <c r="S32" i="52" s="1"/>
  <c r="BJ166" i="46"/>
  <c r="AX166"/>
  <c r="AC131"/>
  <c r="S26" i="52" s="1"/>
  <c r="AJ49" i="46"/>
  <c r="AP49" s="1"/>
  <c r="AV36"/>
  <c r="AI133"/>
  <c r="AI13"/>
  <c r="AC4"/>
  <c r="BP166"/>
  <c r="AJ100"/>
  <c r="AP78"/>
  <c r="AP77" s="1"/>
  <c r="AI132"/>
  <c r="Q165"/>
  <c r="AC134"/>
  <c r="S29" i="52" s="1"/>
  <c r="AC139" i="46"/>
  <c r="S34" i="52" s="1"/>
  <c r="AI130" i="46"/>
  <c r="AP60"/>
  <c r="AI121"/>
  <c r="R96"/>
  <c r="R117" s="1"/>
  <c r="J17" i="52" s="1"/>
  <c r="J37" s="1"/>
  <c r="AC135" i="46"/>
  <c r="S30" i="52" s="1"/>
  <c r="AI16" i="46"/>
  <c r="AI14"/>
  <c r="BG140"/>
  <c r="AI136"/>
  <c r="AC138"/>
  <c r="S33" i="52" s="1"/>
  <c r="AJ29" i="46"/>
  <c r="AJ88" l="1"/>
  <c r="AP88" s="1"/>
  <c r="AV88" s="1"/>
  <c r="BB88" s="1"/>
  <c r="BH88" s="1"/>
  <c r="BN88" s="1"/>
  <c r="BT88" s="1"/>
  <c r="BZ88" s="1"/>
  <c r="CD88" s="1"/>
  <c r="AD86"/>
  <c r="S24" i="52"/>
  <c r="AC143" i="46"/>
  <c r="I38" i="52"/>
  <c r="S5"/>
  <c r="S37" s="1"/>
  <c r="AC25" i="46"/>
  <c r="AJ62"/>
  <c r="AP27"/>
  <c r="BB164"/>
  <c r="BH164" s="1"/>
  <c r="BN164" s="1"/>
  <c r="BT164" s="1"/>
  <c r="BB56"/>
  <c r="AV55"/>
  <c r="AO151"/>
  <c r="BT75"/>
  <c r="BZ65"/>
  <c r="CD65" s="1"/>
  <c r="BH82"/>
  <c r="AI124"/>
  <c r="AP33"/>
  <c r="AP32" s="1"/>
  <c r="AJ74"/>
  <c r="AD85"/>
  <c r="AJ104"/>
  <c r="BT57"/>
  <c r="BM147"/>
  <c r="R165"/>
  <c r="AV106"/>
  <c r="L166"/>
  <c r="AO153"/>
  <c r="AI137"/>
  <c r="X32" i="52" s="1"/>
  <c r="AO154" i="46"/>
  <c r="AU154" s="1"/>
  <c r="BA154" s="1"/>
  <c r="AU7"/>
  <c r="AJ28"/>
  <c r="AJ52" s="1"/>
  <c r="AU155"/>
  <c r="BA155" s="1"/>
  <c r="BB36"/>
  <c r="BH36" s="1"/>
  <c r="AI131"/>
  <c r="AO133"/>
  <c r="E44" i="52"/>
  <c r="BB48" i="46"/>
  <c r="AV49"/>
  <c r="AO13"/>
  <c r="AI4"/>
  <c r="AP29"/>
  <c r="AI138"/>
  <c r="BM140"/>
  <c r="BS140" s="1"/>
  <c r="AO16"/>
  <c r="AJ84"/>
  <c r="AJ83" s="1"/>
  <c r="AI134"/>
  <c r="AV78"/>
  <c r="AV77" s="1"/>
  <c r="BA11"/>
  <c r="AO130"/>
  <c r="AI139"/>
  <c r="X34" i="52" s="1"/>
  <c r="AI145" i="46"/>
  <c r="AP100"/>
  <c r="AP99" s="1"/>
  <c r="AJ80"/>
  <c r="X54"/>
  <c r="AO121"/>
  <c r="AO136"/>
  <c r="AO14"/>
  <c r="AI5"/>
  <c r="X96"/>
  <c r="AP97"/>
  <c r="AV97" s="1"/>
  <c r="AI135"/>
  <c r="AC119"/>
  <c r="AV60"/>
  <c r="AO132"/>
  <c r="W163"/>
  <c r="X37" i="52" l="1"/>
  <c r="X38" s="1"/>
  <c r="AO124" i="46"/>
  <c r="AP62"/>
  <c r="AV27"/>
  <c r="AI25"/>
  <c r="BB97"/>
  <c r="BH97" s="1"/>
  <c r="BN97" s="1"/>
  <c r="BT97" s="1"/>
  <c r="BB49"/>
  <c r="BH56"/>
  <c r="BB55"/>
  <c r="BA7"/>
  <c r="BG7" s="1"/>
  <c r="BM7" s="1"/>
  <c r="BS7" s="1"/>
  <c r="BY7" s="1"/>
  <c r="CC7" s="1"/>
  <c r="AU151"/>
  <c r="BZ75"/>
  <c r="CD75" s="1"/>
  <c r="BN82"/>
  <c r="AU124"/>
  <c r="BA124" s="1"/>
  <c r="BG124" s="1"/>
  <c r="AO120"/>
  <c r="AV33"/>
  <c r="AV32" s="1"/>
  <c r="BZ57"/>
  <c r="AP104"/>
  <c r="AP103" s="1"/>
  <c r="AJ85"/>
  <c r="AP86"/>
  <c r="AP74"/>
  <c r="AP73" s="1"/>
  <c r="AJ96"/>
  <c r="AI143"/>
  <c r="AU130"/>
  <c r="AO137"/>
  <c r="BB106"/>
  <c r="R166"/>
  <c r="AO5"/>
  <c r="AU153"/>
  <c r="W165"/>
  <c r="AP28"/>
  <c r="AP52" s="1"/>
  <c r="AO131"/>
  <c r="AU133"/>
  <c r="BH48"/>
  <c r="AU13"/>
  <c r="AO4"/>
  <c r="AO145"/>
  <c r="AO144" s="1"/>
  <c r="AO143" s="1"/>
  <c r="AU16"/>
  <c r="AU132"/>
  <c r="AU136"/>
  <c r="AI119"/>
  <c r="AP80"/>
  <c r="AP79" s="1"/>
  <c r="BG11"/>
  <c r="AO138"/>
  <c r="AV29"/>
  <c r="AO135"/>
  <c r="AD96"/>
  <c r="AU14"/>
  <c r="BB78"/>
  <c r="BB77" s="1"/>
  <c r="X117"/>
  <c r="AU121"/>
  <c r="AU120" s="1"/>
  <c r="AP84"/>
  <c r="BB60"/>
  <c r="AC163"/>
  <c r="AC165" s="1"/>
  <c r="AV100"/>
  <c r="AV99" s="1"/>
  <c r="AO139"/>
  <c r="BZ164"/>
  <c r="AO134"/>
  <c r="BS147"/>
  <c r="BN36"/>
  <c r="AV62" l="1"/>
  <c r="AP59"/>
  <c r="BB27"/>
  <c r="AO25"/>
  <c r="CD57"/>
  <c r="BN56"/>
  <c r="BH55"/>
  <c r="AP175"/>
  <c r="AU5"/>
  <c r="BA151"/>
  <c r="BT82"/>
  <c r="BZ82" s="1"/>
  <c r="CD82" s="1"/>
  <c r="AV28"/>
  <c r="AV52" s="1"/>
  <c r="BM124"/>
  <c r="BS124" s="1"/>
  <c r="BY124" s="1"/>
  <c r="CC124" s="1"/>
  <c r="BB33"/>
  <c r="BB32" s="1"/>
  <c r="AU135"/>
  <c r="AU131"/>
  <c r="AU137"/>
  <c r="AV74"/>
  <c r="AV73" s="1"/>
  <c r="AV86"/>
  <c r="AP85"/>
  <c r="AV104"/>
  <c r="AV103" s="1"/>
  <c r="AV96" s="1"/>
  <c r="BM11"/>
  <c r="BH106"/>
  <c r="BA153"/>
  <c r="BG154"/>
  <c r="BG155"/>
  <c r="BA133"/>
  <c r="BN48"/>
  <c r="BH49"/>
  <c r="BA13"/>
  <c r="AU4"/>
  <c r="X165"/>
  <c r="X166" s="1"/>
  <c r="BY140"/>
  <c r="AV80"/>
  <c r="AV79" s="1"/>
  <c r="BA132"/>
  <c r="BB100"/>
  <c r="BB99" s="1"/>
  <c r="BA121"/>
  <c r="BA120" s="1"/>
  <c r="AU134"/>
  <c r="CD164"/>
  <c r="BH60"/>
  <c r="AU138"/>
  <c r="AI163"/>
  <c r="AI165" s="1"/>
  <c r="AJ54"/>
  <c r="AJ117" s="1"/>
  <c r="AP83"/>
  <c r="AV84"/>
  <c r="AV83" s="1"/>
  <c r="AO119"/>
  <c r="BA130"/>
  <c r="BA14"/>
  <c r="BA136"/>
  <c r="AU139"/>
  <c r="BH78"/>
  <c r="BH77" s="1"/>
  <c r="BB29"/>
  <c r="BA16"/>
  <c r="AU145"/>
  <c r="AU144" s="1"/>
  <c r="AU143" s="1"/>
  <c r="BY147"/>
  <c r="CC147" s="1"/>
  <c r="BT36"/>
  <c r="BB62" l="1"/>
  <c r="AV59"/>
  <c r="AV54" s="1"/>
  <c r="BH27"/>
  <c r="AU25"/>
  <c r="BN55"/>
  <c r="BT56"/>
  <c r="AU119"/>
  <c r="AU163" s="1"/>
  <c r="BA5"/>
  <c r="BG151"/>
  <c r="BM151" s="1"/>
  <c r="BS151" s="1"/>
  <c r="BY151" s="1"/>
  <c r="BH33"/>
  <c r="BH32" s="1"/>
  <c r="BZ36"/>
  <c r="BS11"/>
  <c r="BB104"/>
  <c r="BB103" s="1"/>
  <c r="AV85"/>
  <c r="BB86"/>
  <c r="BB74"/>
  <c r="BB73" s="1"/>
  <c r="BA137"/>
  <c r="BN106"/>
  <c r="BG153"/>
  <c r="BB28"/>
  <c r="BB52" s="1"/>
  <c r="BM154"/>
  <c r="BM155"/>
  <c r="BA131"/>
  <c r="BG133"/>
  <c r="BT48"/>
  <c r="BN49"/>
  <c r="BG13"/>
  <c r="BA4"/>
  <c r="AO163"/>
  <c r="AO165" s="1"/>
  <c r="BG136"/>
  <c r="AP96"/>
  <c r="BB84"/>
  <c r="BB83" s="1"/>
  <c r="BA138"/>
  <c r="BH100"/>
  <c r="BH99" s="1"/>
  <c r="BG132"/>
  <c r="BG16"/>
  <c r="BH29"/>
  <c r="BN78"/>
  <c r="BN77" s="1"/>
  <c r="BG14"/>
  <c r="BA134"/>
  <c r="CC140"/>
  <c r="BA139"/>
  <c r="BN60"/>
  <c r="BA135"/>
  <c r="BG121"/>
  <c r="BG120" s="1"/>
  <c r="BB80"/>
  <c r="BB79" s="1"/>
  <c r="BA145"/>
  <c r="BA144" s="1"/>
  <c r="BA143" s="1"/>
  <c r="BG130"/>
  <c r="AP54"/>
  <c r="BH62" l="1"/>
  <c r="BB59"/>
  <c r="BN27"/>
  <c r="BA25"/>
  <c r="BT55"/>
  <c r="BZ56"/>
  <c r="AV117"/>
  <c r="BZ48"/>
  <c r="CD48" s="1"/>
  <c r="BA119"/>
  <c r="BA163" s="1"/>
  <c r="BN33"/>
  <c r="BN32" s="1"/>
  <c r="CF11"/>
  <c r="CD36"/>
  <c r="BH74"/>
  <c r="BH73" s="1"/>
  <c r="BH86"/>
  <c r="BB85"/>
  <c r="BG137"/>
  <c r="BM137" s="1"/>
  <c r="BH104"/>
  <c r="BH103" s="1"/>
  <c r="BT106"/>
  <c r="CC151"/>
  <c r="BM153"/>
  <c r="BS155"/>
  <c r="BS154"/>
  <c r="BH28"/>
  <c r="BH52" s="1"/>
  <c r="BG131"/>
  <c r="BM133"/>
  <c r="AP117"/>
  <c r="BT49"/>
  <c r="BM13"/>
  <c r="BG4"/>
  <c r="BM130"/>
  <c r="BG134"/>
  <c r="BM16"/>
  <c r="BN100"/>
  <c r="BN99" s="1"/>
  <c r="BM14"/>
  <c r="BG5"/>
  <c r="BG145"/>
  <c r="BG144" s="1"/>
  <c r="BG143" s="1"/>
  <c r="BG135"/>
  <c r="BY11"/>
  <c r="BT78"/>
  <c r="BT77" s="1"/>
  <c r="BN29"/>
  <c r="BM132"/>
  <c r="BH84"/>
  <c r="BH83" s="1"/>
  <c r="BT60"/>
  <c r="BG138"/>
  <c r="AJ165"/>
  <c r="AJ166" s="1"/>
  <c r="AU165"/>
  <c r="BH80"/>
  <c r="BH79" s="1"/>
  <c r="BM121"/>
  <c r="BM120" s="1"/>
  <c r="BG139"/>
  <c r="BM136"/>
  <c r="BN62" l="1"/>
  <c r="BH59"/>
  <c r="BT27"/>
  <c r="BG25"/>
  <c r="BA165"/>
  <c r="CD56"/>
  <c r="CD55" s="1"/>
  <c r="BZ55"/>
  <c r="AV165"/>
  <c r="AV166" s="1"/>
  <c r="BS137"/>
  <c r="BT33"/>
  <c r="BZ78"/>
  <c r="CD78" s="1"/>
  <c r="CD77" s="1"/>
  <c r="BH85"/>
  <c r="BN86"/>
  <c r="BN104"/>
  <c r="BN103" s="1"/>
  <c r="BN74"/>
  <c r="BN73" s="1"/>
  <c r="BZ106"/>
  <c r="CC11"/>
  <c r="BS153"/>
  <c r="BN28"/>
  <c r="BY155"/>
  <c r="BY154"/>
  <c r="BM131"/>
  <c r="BS133"/>
  <c r="AP165"/>
  <c r="AP166" s="1"/>
  <c r="BZ49"/>
  <c r="BS13"/>
  <c r="BM4"/>
  <c r="BB96"/>
  <c r="BG119"/>
  <c r="BG163" s="1"/>
  <c r="BM135"/>
  <c r="BS16"/>
  <c r="BS121"/>
  <c r="BS120" s="1"/>
  <c r="BM134"/>
  <c r="BS136"/>
  <c r="BM139"/>
  <c r="BN80"/>
  <c r="BN79" s="1"/>
  <c r="BM145"/>
  <c r="BM144" s="1"/>
  <c r="BM143" s="1"/>
  <c r="BS130"/>
  <c r="BZ60"/>
  <c r="BN84"/>
  <c r="BN83" s="1"/>
  <c r="BM138"/>
  <c r="BS132"/>
  <c r="BT29"/>
  <c r="BS14"/>
  <c r="BM5"/>
  <c r="BT100"/>
  <c r="BT99" s="1"/>
  <c r="BB54"/>
  <c r="BT62" l="1"/>
  <c r="BN59"/>
  <c r="BN52"/>
  <c r="BZ27"/>
  <c r="BM25"/>
  <c r="BT32"/>
  <c r="BY137"/>
  <c r="BB117"/>
  <c r="BZ33"/>
  <c r="BZ32" s="1"/>
  <c r="CD60"/>
  <c r="BT74"/>
  <c r="BT73" s="1"/>
  <c r="BT104"/>
  <c r="BT103" s="1"/>
  <c r="BN85"/>
  <c r="BT86"/>
  <c r="CD106"/>
  <c r="BY153"/>
  <c r="BT28"/>
  <c r="CC154"/>
  <c r="CC155"/>
  <c r="BS131"/>
  <c r="BY133"/>
  <c r="BZ77"/>
  <c r="CD49"/>
  <c r="BY13"/>
  <c r="BS4"/>
  <c r="BS145"/>
  <c r="BS144" s="1"/>
  <c r="BT80"/>
  <c r="BT79" s="1"/>
  <c r="BY16"/>
  <c r="CC16" s="1"/>
  <c r="BT84"/>
  <c r="BT83" s="1"/>
  <c r="BS135"/>
  <c r="BH96"/>
  <c r="BS139"/>
  <c r="BZ100"/>
  <c r="BZ99" s="1"/>
  <c r="BY14"/>
  <c r="BS5"/>
  <c r="BZ29"/>
  <c r="CD29" s="1"/>
  <c r="BY136"/>
  <c r="BY121"/>
  <c r="BS138"/>
  <c r="BG165"/>
  <c r="BY132"/>
  <c r="BS134"/>
  <c r="BY130"/>
  <c r="BM119"/>
  <c r="BM163" s="1"/>
  <c r="BH54"/>
  <c r="BZ62" l="1"/>
  <c r="BT59"/>
  <c r="BT54" s="1"/>
  <c r="BS25"/>
  <c r="BT52"/>
  <c r="CD27"/>
  <c r="CC153"/>
  <c r="BS143"/>
  <c r="CC137"/>
  <c r="BM165"/>
  <c r="BB165"/>
  <c r="BB166" s="1"/>
  <c r="CD33"/>
  <c r="CC130"/>
  <c r="CC132"/>
  <c r="CC14"/>
  <c r="CC136"/>
  <c r="CC133"/>
  <c r="BZ74"/>
  <c r="BZ73" s="1"/>
  <c r="BT85"/>
  <c r="BZ104"/>
  <c r="BZ103" s="1"/>
  <c r="BH117"/>
  <c r="CC121"/>
  <c r="CC120" s="1"/>
  <c r="BY120"/>
  <c r="BY5"/>
  <c r="BZ28"/>
  <c r="BZ52" s="1"/>
  <c r="BN54"/>
  <c r="CD100"/>
  <c r="CD99" s="1"/>
  <c r="BY131"/>
  <c r="CC13"/>
  <c r="BY4"/>
  <c r="BY135"/>
  <c r="BY134"/>
  <c r="BZ84"/>
  <c r="BY145"/>
  <c r="BY144" s="1"/>
  <c r="BS119"/>
  <c r="BS163" s="1"/>
  <c r="BY138"/>
  <c r="BZ80"/>
  <c r="BY139"/>
  <c r="BN96"/>
  <c r="CD62" l="1"/>
  <c r="CD59" s="1"/>
  <c r="BZ59"/>
  <c r="H62" i="73"/>
  <c r="BY25" i="46"/>
  <c r="CD32"/>
  <c r="BY119"/>
  <c r="CD86"/>
  <c r="CD85" s="1"/>
  <c r="CC5"/>
  <c r="BY143"/>
  <c r="CD28"/>
  <c r="CD52" s="1"/>
  <c r="CC139"/>
  <c r="CC138"/>
  <c r="CC135"/>
  <c r="CC134"/>
  <c r="CD104"/>
  <c r="CD103" s="1"/>
  <c r="BZ86"/>
  <c r="BZ85" s="1"/>
  <c r="CD74"/>
  <c r="CD73" s="1"/>
  <c r="BH165"/>
  <c r="BH167" s="1"/>
  <c r="CC145"/>
  <c r="BN117"/>
  <c r="CC131"/>
  <c r="CC4"/>
  <c r="BS165"/>
  <c r="BZ97"/>
  <c r="CD97" s="1"/>
  <c r="BT96"/>
  <c r="BT117" s="1"/>
  <c r="BZ83"/>
  <c r="CD84"/>
  <c r="CD83" s="1"/>
  <c r="CD80"/>
  <c r="CD79" s="1"/>
  <c r="BZ79"/>
  <c r="CC25" l="1"/>
  <c r="CC144"/>
  <c r="CC143" s="1"/>
  <c r="BY163"/>
  <c r="BY165" s="1"/>
  <c r="BH166"/>
  <c r="BN165"/>
  <c r="BN166" s="1"/>
  <c r="CD54"/>
  <c r="CD96"/>
  <c r="BZ96"/>
  <c r="BT165"/>
  <c r="BT166" s="1"/>
  <c r="CC119"/>
  <c r="BZ54"/>
  <c r="CC163" l="1"/>
  <c r="CC165" s="1"/>
  <c r="CD117"/>
  <c r="BZ117"/>
  <c r="BZ165" l="1"/>
  <c r="BZ166" s="1"/>
  <c r="CB166" l="1"/>
  <c r="CD165" l="1"/>
  <c r="CD166" s="1"/>
  <c r="CE52"/>
  <c r="AD54"/>
  <c r="AD117" s="1"/>
  <c r="AD165" s="1"/>
  <c r="AD166" l="1"/>
  <c r="T17" i="52"/>
  <c r="T37" s="1"/>
  <c r="T38" s="1"/>
</calcChain>
</file>

<file path=xl/sharedStrings.xml><?xml version="1.0" encoding="utf-8"?>
<sst xmlns="http://schemas.openxmlformats.org/spreadsheetml/2006/main" count="4110" uniqueCount="469">
  <si>
    <t>รายการ</t>
  </si>
  <si>
    <t>เครดิต</t>
  </si>
  <si>
    <t>เงินสด</t>
  </si>
  <si>
    <t>ค่าจ้างประจำ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</si>
  <si>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</si>
  <si>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</si>
  <si>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</si>
  <si>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</si>
  <si>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</si>
  <si>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</si>
  <si>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</si>
  <si>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งบกลาง</t>
  </si>
  <si>
    <t>รายจ่ายอื่น</t>
  </si>
  <si>
    <t>เงินอุดหนุน</t>
  </si>
  <si>
    <t>รายจ่ายค้างจ่าย</t>
  </si>
  <si>
    <t>เงินสะสม</t>
  </si>
  <si>
    <t>ประมาณการ</t>
  </si>
  <si>
    <t>รวม</t>
  </si>
  <si>
    <t>รายรับ</t>
  </si>
  <si>
    <t>ภาษีอากร</t>
  </si>
  <si>
    <t>รายได้เบ็ดเตล็ด</t>
  </si>
  <si>
    <t>รายได้จากทรัพย์สิน</t>
  </si>
  <si>
    <t>เงินอุดหนุนทั่วไป</t>
  </si>
  <si>
    <t>รายได้จากสาธารณูปโภคและการพาณิชย์</t>
  </si>
  <si>
    <t>จำนวนเงิน</t>
  </si>
  <si>
    <t>ค่าปรับผิดสัญญา</t>
  </si>
  <si>
    <t>ภาษีหัก ณ ที่จ่าย</t>
  </si>
  <si>
    <t>เงินประกันสัญญา</t>
  </si>
  <si>
    <t>เทศบาลตำบลเขาพระ  อำเภอพิปูน  จังหวัดนครศรีธรรมราช</t>
  </si>
  <si>
    <t>รายจ่าย</t>
  </si>
  <si>
    <t>รวมรายจ่าย</t>
  </si>
  <si>
    <t>รวมรายรับ</t>
  </si>
  <si>
    <t>(นายวสันต์  ไทรแก้ว)</t>
  </si>
  <si>
    <t>ปลัดเทศบาล</t>
  </si>
  <si>
    <t>หนี้สินและเงินสะสม</t>
  </si>
  <si>
    <t>นายกเทศมนตรีตำบลเขาพระ</t>
  </si>
  <si>
    <t>เดบิต</t>
  </si>
  <si>
    <t>ภาษีบำรุงท้องที่</t>
  </si>
  <si>
    <t>ภาษีโรงเรือนและที่ดิน</t>
  </si>
  <si>
    <t>ภาษีป้าย</t>
  </si>
  <si>
    <t>ภาษีสุรา</t>
  </si>
  <si>
    <t>ภาษีสรรพสามิต</t>
  </si>
  <si>
    <t>ภาษีธุรกิจเฉพาะ</t>
  </si>
  <si>
    <t>ค่าภาคหลวงแร่</t>
  </si>
  <si>
    <t>ค่าภาคหลวงปิโตรเลียม</t>
  </si>
  <si>
    <t>ภาษีจัดสรร</t>
  </si>
  <si>
    <t xml:space="preserve"> </t>
  </si>
  <si>
    <t xml:space="preserve">  </t>
  </si>
  <si>
    <t>ลูกหนี้ภาษีบำรุงท้องที่</t>
  </si>
  <si>
    <t>ครุภัณฑ์</t>
  </si>
  <si>
    <t>รายจ่ายรอจ่าย</t>
  </si>
  <si>
    <t>ค่าปรับผู้กระทำผิดกฎหมายจราจรทางบก</t>
  </si>
  <si>
    <t>ดอกเบี้ยเงินฝากธนาคาร</t>
  </si>
  <si>
    <t>ค่าขายแบบแปลน</t>
  </si>
  <si>
    <t>รายได้เบ็ดเตล็ดอื่น</t>
  </si>
  <si>
    <t>ค่าธรรมเนียมจดทะเบียนสิทธิและนิติกรรมที่ดิน</t>
  </si>
  <si>
    <t>รับจ่าย</t>
  </si>
  <si>
    <t>Dr</t>
  </si>
  <si>
    <t>Cr</t>
  </si>
  <si>
    <t>บัญชีเงินสด</t>
  </si>
  <si>
    <t>บัญชีเงินฝากธนาคาร</t>
  </si>
  <si>
    <t>สาขาจันดี  835-6-00451-9</t>
  </si>
  <si>
    <t>สาขาพิปูน 815-5-00022-3</t>
  </si>
  <si>
    <t>สาขาจันดี  835-0-18075-7</t>
  </si>
  <si>
    <t>สาขาพิปูน 815-2-37037-4</t>
  </si>
  <si>
    <t>สาขาพิปูน 815-2-50915-1</t>
  </si>
  <si>
    <t>รวมสินทรัพย์</t>
  </si>
  <si>
    <t>บัญชีเงินรับฝาก</t>
  </si>
  <si>
    <t>ค่าใช้จ่ายในการจัดเก็บภาษีบำรุงท้องที่</t>
  </si>
  <si>
    <t>ค่าตอบแทนแพทย์ระบบฉุกเฉิน (EMS)</t>
  </si>
  <si>
    <t>เงินทุนโครงการเศรษฐกิจชุมชน</t>
  </si>
  <si>
    <t>บัญชีเงินสะสม</t>
  </si>
  <si>
    <t>รวมหนี้สินและเงินสะสม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</si>
  <si>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</si>
  <si>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</si>
  <si>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</si>
  <si>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ค่าธรรมเนียมใบอนุญาตขายสุรา</t>
  </si>
  <si>
    <t>ค่าธรรมเนียมเกี่ยวกับทะเบียนราษฎร</t>
  </si>
  <si>
    <t>หมวดรายได้จากทรัพย์สิน</t>
  </si>
  <si>
    <t>ค่าเช่าหรือบริการสถานที่</t>
  </si>
  <si>
    <t>ดอกเบี้ยเงินฝาก กสท.</t>
  </si>
  <si>
    <t>หมวดรายได้จากสาธารณูปโภคและการพาณิชย์</t>
  </si>
  <si>
    <t>หมวดรายได้เบ็ดเตล็ด</t>
  </si>
  <si>
    <t>ค่ารับรองสำเนาและถ่ายเอกสาร</t>
  </si>
  <si>
    <t>หมวดรายได้จากทุน</t>
  </si>
  <si>
    <t>ค่าขายทอดตลาดทรัพย์สิน</t>
  </si>
  <si>
    <t>รายได้ที่รัฐบาลเก็บแล้วจัดสรรให้ อปท.</t>
  </si>
  <si>
    <t>หมวดภาษีจัดสรร</t>
  </si>
  <si>
    <t>รายได้ที่รัฐบาลอุดหนุนให้ อปท.</t>
  </si>
  <si>
    <t>หมวดเงินอุดหนุนทั่วไป</t>
  </si>
  <si>
    <t>เงินอุดหนุนตามอำนาจหน้าที่และภารกิจถ่ายโอน</t>
  </si>
  <si>
    <t>หมวดเงินอุดหนุนเฉพาะกิจ</t>
  </si>
  <si>
    <t>รวมทั้งสิ้น</t>
  </si>
  <si>
    <t>กรุงไทย กระแสรายวัน</t>
  </si>
  <si>
    <t>ธกส. กระแสรายวัน</t>
  </si>
  <si>
    <t>กรุงไทย ออมทรัพย์</t>
  </si>
  <si>
    <t>ธกส. ออมทรัพย์</t>
  </si>
  <si>
    <t>สินทรัพย์</t>
  </si>
  <si>
    <t>เงินเดือน (ฝ่ายประจำ)</t>
  </si>
  <si>
    <t>เงินเดือน (ฝ่ายการเมือง)</t>
  </si>
  <si>
    <t>รายได้จากทุน</t>
  </si>
  <si>
    <t>เบี้ยยังชีพคนชรา</t>
  </si>
  <si>
    <t>เบี้ยยังชีพคนพิการ</t>
  </si>
  <si>
    <t>งบทดลอง</t>
  </si>
  <si>
    <t>เงินประกันสังคม 5%</t>
  </si>
  <si>
    <t>เบี้ยยังชีพผู้พิการ</t>
  </si>
  <si>
    <t>เบี้ยยังชีพผู้ป่วยเอดส์</t>
  </si>
  <si>
    <t>เงินสำรองจ่าย</t>
  </si>
  <si>
    <t>กบท</t>
  </si>
  <si>
    <t>รหัสบัญชี</t>
  </si>
  <si>
    <t>ลูกหนี้เงินยืมเงินสะสม</t>
  </si>
  <si>
    <t>จนถึงปัจจุบัน</t>
  </si>
  <si>
    <t>ยอดยกมา</t>
  </si>
  <si>
    <t>รายรับ (หมายเหตุ 1)</t>
  </si>
  <si>
    <t>เงินเดือนฝ่ายการเมือง</t>
  </si>
  <si>
    <t>เงินเดือนฝ่ายประจำ</t>
  </si>
  <si>
    <t>สูงกว่า</t>
  </si>
  <si>
    <t>(ต่ำกว่า)</t>
  </si>
  <si>
    <t>ยอดยกไป</t>
  </si>
  <si>
    <t>รายรับ              รายจ่าย</t>
  </si>
  <si>
    <t>ปรับปรุง</t>
  </si>
  <si>
    <t>จ่ายจากเงินงบประมาณ</t>
  </si>
  <si>
    <t>หมายเหตุ 1</t>
  </si>
  <si>
    <t>รับจริง</t>
  </si>
  <si>
    <t>(1) ภาษีโรงเรือนและที่ดิน</t>
  </si>
  <si>
    <t>(2) ภาษีบำรุงท้องที่</t>
  </si>
  <si>
    <t>(3) ภาษีป้าย</t>
  </si>
  <si>
    <t>(1) ค่าเช่าหรือบริการสถานที่</t>
  </si>
  <si>
    <t>(2) ดอกเบี้ยเงินฝากธนาคาร</t>
  </si>
  <si>
    <t>(3) ดอกเบี้ยเงินฝาก กสท.</t>
  </si>
  <si>
    <t>(1) ค่าขายแบบแปลน</t>
  </si>
  <si>
    <t>(1) ค่าขายทอดตลาดทรัพย์สิน</t>
  </si>
  <si>
    <t>(3) ภาษีธุรกิจเฉพาะ</t>
  </si>
  <si>
    <t>(4) ภาษีสุรา</t>
  </si>
  <si>
    <t>(5) ภาษีสรรพสามิต</t>
  </si>
  <si>
    <t>(6) ค่าภาคหลวงแร่</t>
  </si>
  <si>
    <t>(7) ค่าภาคหลวงปิโตรเลียม</t>
  </si>
  <si>
    <t>รวมรายรับตามงบประมาณ</t>
  </si>
  <si>
    <t>รวมรายรับทั้งสิ้น</t>
  </si>
  <si>
    <t>แผนงาน</t>
  </si>
  <si>
    <t>หมวด/ประเภทรายจ่าย</t>
  </si>
  <si>
    <t>00110</t>
  </si>
  <si>
    <t>00111</t>
  </si>
  <si>
    <t>00113</t>
  </si>
  <si>
    <t>00120</t>
  </si>
  <si>
    <t>00121</t>
  </si>
  <si>
    <t>00210</t>
  </si>
  <si>
    <t>00211</t>
  </si>
  <si>
    <t>00212</t>
  </si>
  <si>
    <t>00221</t>
  </si>
  <si>
    <t>00223</t>
  </si>
  <si>
    <t>00232</t>
  </si>
  <si>
    <t>00241</t>
  </si>
  <si>
    <t>00242</t>
  </si>
  <si>
    <t>00252</t>
  </si>
  <si>
    <t>00262</t>
  </si>
  <si>
    <t>00263</t>
  </si>
  <si>
    <t>00321</t>
  </si>
  <si>
    <t>00322</t>
  </si>
  <si>
    <t>00411</t>
  </si>
  <si>
    <t>00220</t>
  </si>
  <si>
    <t>00230</t>
  </si>
  <si>
    <t>00240</t>
  </si>
  <si>
    <t>00250</t>
  </si>
  <si>
    <t>00260</t>
  </si>
  <si>
    <t>00320</t>
  </si>
  <si>
    <t>00410</t>
  </si>
  <si>
    <t>เงินสมทบประกันสังคม</t>
  </si>
  <si>
    <t>เงินสมทบ กบท.</t>
  </si>
  <si>
    <t>เงินเดือนนายก/รองนายก</t>
  </si>
  <si>
    <t>ค่าตอบแทนพิเศษนายก/รองนายก</t>
  </si>
  <si>
    <t>ค่าตอบแทนเลขาฯ/ที่ปรึกษา</t>
  </si>
  <si>
    <t>ค่าตอบแทนสมาชิก</t>
  </si>
  <si>
    <t>เงินประจำตำแหน่งนายก/รองนายก</t>
  </si>
  <si>
    <t>รวมเดือนนี้</t>
  </si>
  <si>
    <t>รวมตั้งแต่ต้นปี</t>
  </si>
  <si>
    <t>เงินเดือนพนักงานเทศบาล</t>
  </si>
  <si>
    <t>เงินเพิ่มพนักงานเทศบาล</t>
  </si>
  <si>
    <t>เงินประจำตำแหน่ง</t>
  </si>
  <si>
    <t>เงินเพิ่มลูกจ้างประจำ</t>
  </si>
  <si>
    <t>ค่าจ้างพนักงานจ้าง</t>
  </si>
  <si>
    <t>เงินเพิ่มพนักงานจ้าง</t>
  </si>
  <si>
    <t>ค่าตอบแทนผู้ปฏิบัติฯ</t>
  </si>
  <si>
    <t>ค่าเบี้ยประชุม</t>
  </si>
  <si>
    <t>ค่าตอบแทนนอกเวลาฯ</t>
  </si>
  <si>
    <t>ค่าเช่าบ้าน</t>
  </si>
  <si>
    <t>เงินช่วยการศึกษาบุตร</t>
  </si>
  <si>
    <t>เงินช่วยค่ารักษาพยาบาล</t>
  </si>
  <si>
    <t>รายจ่ายให้ได้มาซึ่งบริการ</t>
  </si>
  <si>
    <t>ค่ารับรอง</t>
  </si>
  <si>
    <t>รายจ่ายไม่เข้าลักษณะฯ</t>
  </si>
  <si>
    <t>ค่าบำรุงรักษาและซ่อมแซม</t>
  </si>
  <si>
    <t>วัสดุสำนักงาน</t>
  </si>
  <si>
    <t>วัสดุไฟฟ้าวิทยุ</t>
  </si>
  <si>
    <t>วัสดุก่อสร้าง</t>
  </si>
  <si>
    <t>วัสดุเชื้อเพลิง</t>
  </si>
  <si>
    <t>วัสดุคอมพิวเตอร์</t>
  </si>
  <si>
    <t>วัสดุวิทยาศาสตร์</t>
  </si>
  <si>
    <t>วัสดุเครื่องแต่งกาย</t>
  </si>
  <si>
    <t>วัสดุกีฬา</t>
  </si>
  <si>
    <t>วัสดุการศึกษา</t>
  </si>
  <si>
    <t>วัสดุอื่น</t>
  </si>
  <si>
    <t>ไฟฟ้า</t>
  </si>
  <si>
    <t>โทรศัพท์</t>
  </si>
  <si>
    <t>ไปรษณีย์</t>
  </si>
  <si>
    <t>โทรคมนาคม</t>
  </si>
  <si>
    <t>ครุภัณฑ์สำนักงาน</t>
  </si>
  <si>
    <t>ครุภัณฑ์ยานพาหนะและขนส่ง</t>
  </si>
  <si>
    <t>ครุภัณฑ์โฆษณาและเผยแพร่</t>
  </si>
  <si>
    <t>ค่าบำรุงรักษาครุภัณฑ์</t>
  </si>
  <si>
    <t>ค่าอาหารเสริม(นม)</t>
  </si>
  <si>
    <t>ค่าบำรุงรักษาฯ</t>
  </si>
  <si>
    <t>00330</t>
  </si>
  <si>
    <t>00332</t>
  </si>
  <si>
    <t>00123</t>
  </si>
  <si>
    <t>เงินเกินบัญชี</t>
  </si>
  <si>
    <t>00264</t>
  </si>
  <si>
    <t>รับ</t>
  </si>
  <si>
    <t>หมวดที่จ่าย</t>
  </si>
  <si>
    <t>สปสช (ข้อผูกพัน)</t>
  </si>
  <si>
    <t>ปิดบัญชี</t>
  </si>
  <si>
    <t>ออมสิน ประจำ</t>
  </si>
  <si>
    <t>ค่าวัสดุ (อุดหนุน)</t>
  </si>
  <si>
    <t>สาขาจันดี 300003690629</t>
  </si>
  <si>
    <t>ครุภัณฑ์การศึกษา</t>
  </si>
  <si>
    <t>ครุภัณฑ์การเกษตร</t>
  </si>
  <si>
    <t>ครุภัณฑ์ก่อสร้าง</t>
  </si>
  <si>
    <t>ครุภัณฑ์ไฟฟ้าและวิทยุ</t>
  </si>
  <si>
    <t>ครุภัณฑ์วิทยาศาสตร์</t>
  </si>
  <si>
    <t>ครุภัณฑ์คอมพิวเตอร์</t>
  </si>
  <si>
    <t>ค่าตอบแทน /เงินปันผลสหกรณ์</t>
  </si>
  <si>
    <t>เบี้ยยังชีพผู้สูงอายุ</t>
  </si>
  <si>
    <t>ค่าธรรมเนียม ค่าปรับและใบอนุญาต</t>
  </si>
  <si>
    <t>บัญชีเงินทุนสำรองสะสม</t>
  </si>
  <si>
    <t>รายจ่าย:-</t>
  </si>
  <si>
    <t>วัสดุงานบ้านงานครัว</t>
  </si>
  <si>
    <t>(นายวสันต์   ไทรแก้ว)</t>
  </si>
  <si>
    <t>บำรุงสันนิบาตเทศบาล</t>
  </si>
  <si>
    <t>00244</t>
  </si>
  <si>
    <t>ค่าธรรมเนียมออกหนังสือรับรองการแจ้งสถานที่จำหน่ายอาหาร</t>
  </si>
  <si>
    <t>ค่าใบอนุญาตกิจการค้าสำหรับกิจการที่เป็นอันตรายต่อสุขภาพ</t>
  </si>
  <si>
    <t>ทุนการศึกษา</t>
  </si>
  <si>
    <t>ค่าใช้สอย(อุดหนุนเฉพาะกิจโครงการป้องกันและแก้ไขปัญหายาเสพติด</t>
  </si>
  <si>
    <t>ครุภัณฑ์งานบ้านงานครัว</t>
  </si>
  <si>
    <t>ค่าครุภัณฑ์คอมฯ (อุดหนุนเฉพาะกิจ)</t>
  </si>
  <si>
    <t>ค่าธรรมเนียมเก็บและขนขยะมูลฝอย</t>
  </si>
  <si>
    <t>ค่าธรรมเนียมจดทะเบียนพาณิชย์</t>
  </si>
  <si>
    <t>ค่าใบอนุญาตจัดตั้งสถานที่จำหน่ายอาหารซึ่งมีพื่นที่เกิน 200 ตร.ม.</t>
  </si>
  <si>
    <t>ค่าใบอนุญาตจัดตั้งตลาดเอกชน</t>
  </si>
  <si>
    <t>ค่าธรรมเนียมโฆษณาใช้เครื่องขยายเสียง</t>
  </si>
  <si>
    <t>(นายชวลิต สิทธิฤทธิ์)</t>
  </si>
  <si>
    <t>(2) รายได้เบ็ดเตล็ดอื่น</t>
  </si>
  <si>
    <t>(1) เงินอุดหนุนตามอำนาจหน้าที่และภารกิจถ่ายโอนเลือกทำ</t>
  </si>
  <si>
    <t>เทศบาลตำบลเขาพระ อำเภอพิปูน จังหวัดนครศรีธรรมราช</t>
  </si>
  <si>
    <t>เงินฝาก ก.ส.ท.</t>
  </si>
  <si>
    <t>เงินเดือน ศพด.</t>
  </si>
  <si>
    <t>ค่าจ้าง ศพด.</t>
  </si>
  <si>
    <t>ประกันสังคม ศพด.</t>
  </si>
  <si>
    <t>ค่าตอบแทน ศพด.</t>
  </si>
  <si>
    <t>(นางชุติมา  ลอยประเสริฐ)</t>
  </si>
  <si>
    <t>ครุภัณฑ์เครื่องดับเพลิง</t>
  </si>
  <si>
    <t>ค่ารักษาพยาบาล</t>
  </si>
  <si>
    <t>เงินปันผล/ค่าตอบแทน จนท.สหกรณ์</t>
  </si>
  <si>
    <t>(1) ค่าธรรมเนียมเกี่ยวกับใบอนุญาตการขายสุรา</t>
  </si>
  <si>
    <t>(2) ค่าธรรมเนียมเก็บและขนขยะมูลฝอย</t>
  </si>
  <si>
    <t>(3) ค่าธรรมเนียมในการออกหนังสือรับรองการแจ้งสถานที่จำหน่ายอาหาร</t>
  </si>
  <si>
    <t>(4) ค่าธรรมเนียมเกี่ยวกับทะเบียนราษฎร</t>
  </si>
  <si>
    <t>(5) ค่าธรรมเนียมจดทะเบียนพาณิชย์</t>
  </si>
  <si>
    <t>(7) ค่าปรับผู้กระทำผิดกฎหมายจราจรทางบก</t>
  </si>
  <si>
    <t>(8) ค่าปรับผิดสัญญา</t>
  </si>
  <si>
    <t>(10) ค่าใบอนุญาตจัดตั้งสถานที่จำหน่ายอาหารซึ่งมีพื้นที่เกิน 200 ตร.ม.</t>
  </si>
  <si>
    <t>(11) ค่าใบอนุญาตจัดตั้งตลาดเอกชน</t>
  </si>
  <si>
    <t>แบบแสดงฐานะการคลัง</t>
  </si>
  <si>
    <t>ฐานะการคลัง</t>
  </si>
  <si>
    <t>ปีงบประมาณ</t>
  </si>
  <si>
    <t>รายรับตามงบประมาณ</t>
  </si>
  <si>
    <t>รัฐบาลจัดสรรให้</t>
  </si>
  <si>
    <t>รายรับนอกงบประมาณ</t>
  </si>
  <si>
    <t>เงินอุดหนุนเฉพาะกิจ/เงินอุดหนุนระบุวัตถุประสงค์</t>
  </si>
  <si>
    <t>รวมรับทั้งสิ้น</t>
  </si>
  <si>
    <t>รายจ่ายตามงบประมาณ</t>
  </si>
  <si>
    <t>เงินเดือน</t>
  </si>
  <si>
    <t>รายจ่ายนอกงบประมาณ</t>
  </si>
  <si>
    <t>รวมจ่ายทั้งสิ้น</t>
  </si>
  <si>
    <t xml:space="preserve">เงินฝากธนาคาร 30 กันยายน </t>
  </si>
  <si>
    <t>ลงชื่อ...................................................ปลัดเทศบาล</t>
  </si>
  <si>
    <t>กู้เพื่อก่อสร้างถนน,จัดซื้อครุภัณฑ์ยานพาหนะและขนส่งและครุภัณฑ์ก่อสร้าง</t>
  </si>
  <si>
    <t>หัวหน้าฝ่ายบริหารงานคลัง รักษาราชการแทน</t>
  </si>
  <si>
    <t>ผู้อำนวยการกองคลัง</t>
  </si>
  <si>
    <t>เงินฝาก กรุงไทย   (ออมทรัพย์) เลขที่บัญชี 835-0-00451-9</t>
  </si>
  <si>
    <t>เงินฝาก ธ.ก.ส.    (ออมทรัพย์) เลขที่บัญชี 815-2-37037-4</t>
  </si>
  <si>
    <t>เงินฝาก ธ.ก.ส.    (ออมทรัพย์) เลขที่บัญชี 815-2-50915-1</t>
  </si>
  <si>
    <t xml:space="preserve">          (นางชุติมา   ลอยประเสริฐ)</t>
  </si>
  <si>
    <t>ลงชื่อ............................................................</t>
  </si>
  <si>
    <t xml:space="preserve">               ผู้อำนวยการกองคลัง</t>
  </si>
  <si>
    <t>ครุภัณฑ์โรงงาน</t>
  </si>
  <si>
    <t>ครุภัณฑ์สำรวจ</t>
  </si>
  <si>
    <t>ค่าบำรุงสันนิบาตเทศบาลแห่งประเทศไทย</t>
  </si>
  <si>
    <t>อุดหนุน (อุดหนุนโครงการป้องกันและแก้ไขปัญหายาเสพติด)</t>
  </si>
  <si>
    <t>ค่าจัดการเรียนการสอน วัสดุการศึกษา ศูนย์เด็ก</t>
  </si>
  <si>
    <t>วัสดุการเกษตร</t>
  </si>
  <si>
    <t>ค่าจ้าง ครูผดด.</t>
  </si>
  <si>
    <t>เงินเดือนครู ผดด.</t>
  </si>
  <si>
    <t>00251</t>
  </si>
  <si>
    <t>งบกลาง (อุดหนุนทั่วไปกำหนดวัตถุประสงค์)</t>
  </si>
  <si>
    <t>หมวดเงินอุดหนุนทั่วไปกำหนดวัตถุประสงค์</t>
  </si>
  <si>
    <t>การสงเคราะห์เบี้ยยังชีพผู้สูงอายุ</t>
  </si>
  <si>
    <t>การสงเคราะห์เบี้ยยังชีพคนพิการ</t>
  </si>
  <si>
    <t>จ่ายจากเงินอุดหนุนทั่วไปกำหนดวัตถุประสงค์</t>
  </si>
  <si>
    <t>จ่ายเงินอุดหนุนทั่วไปกำหนดวัตถุประสงค์</t>
  </si>
  <si>
    <t>วัสดุยานพาหนะและขนส่ง</t>
  </si>
  <si>
    <t>บุคลากร</t>
  </si>
  <si>
    <t>ดำเนินงาน</t>
  </si>
  <si>
    <t>ลงทุน(ครุภัณฑ์)</t>
  </si>
  <si>
    <t>ลงทุน(ที่ดินและสิ่งก่อสร้าง)</t>
  </si>
  <si>
    <t>โครงการอปท.เร่งด่วนปี 57</t>
  </si>
  <si>
    <t>โครงการก่อสร้างระบบประปาบาดาลปี 58</t>
  </si>
  <si>
    <t>ค่าที่ดินและสิ่งก่อสร้าง (อุดหนุนเฉพาะกิจ)</t>
  </si>
  <si>
    <t>ค่าที่ดินและสิ่งก่อสร้าง (อุดหนุนทั่วไปเพื่อสนับสนุนอปท.ตามยุทธศาสตร์การพัฒนาประเทศ)</t>
  </si>
  <si>
    <t>ลูกหนี้เงินทุนโครงการเศรษฐกิจชุมชน</t>
  </si>
  <si>
    <t xml:space="preserve">ค่าใช้สอย </t>
  </si>
  <si>
    <t>ค่าตอบแทน (อุดหนุนเฉพาะกิจสวัสดิการครูผดด.)</t>
  </si>
  <si>
    <t>ลงทุน</t>
  </si>
  <si>
    <t>ทรัพย์สินเกิดจากเงินกู้</t>
  </si>
  <si>
    <t>ประจำเดือน ตุลาคม 2558</t>
  </si>
  <si>
    <t>ลูกหนี้รายได้อื่นๆ</t>
  </si>
  <si>
    <t>เงินรับฝากเงินรอคืนจังหวัด (เบี้ยยังชีพผู้สูงอายุ)</t>
  </si>
  <si>
    <t>เงินรับฝากเงินรอคืนจังหวัด (เบี้ยยังชีพคนพิการ)</t>
  </si>
  <si>
    <t>เงินรับฝากเงินรอคืนจังหวัด(เงินสวัสดิการเกี่ยวกับการศึกษาบุตร)</t>
  </si>
  <si>
    <t>ค่าชำระดอกเบี้ย</t>
  </si>
  <si>
    <t>เงินสมทบ สปสช./กองทุนสวัสดิการชุมชน</t>
  </si>
  <si>
    <t>00245</t>
  </si>
  <si>
    <t>เงินรับฝากเงินรอคืนจังหวัด (ยาเสพติด)</t>
  </si>
  <si>
    <t>ยกมา 1 ต.ค.58</t>
  </si>
  <si>
    <t xml:space="preserve"> งบ ต.ค.2558</t>
  </si>
  <si>
    <t>ลูกหนี้เงินยืม</t>
  </si>
  <si>
    <t>รายได้จากรัฐบาลค้างรับ</t>
  </si>
  <si>
    <t>เงินฝากเงินทุนส่งเสริมกิจการเทศบาล</t>
  </si>
  <si>
    <t>เจ้าหนี้เงินกู้เงินทุนส่งเสริมกิจการเทศบาล</t>
  </si>
  <si>
    <t>เงินประกันซอง</t>
  </si>
  <si>
    <t>ภาษีมูลค่าเพิ่มตาม พรบ.กำหนดแผนฯ</t>
  </si>
  <si>
    <t>เงินสมทบกองทุนประกันสังคม</t>
  </si>
  <si>
    <t>ค่าชำระหนี้เงินต้น</t>
  </si>
  <si>
    <t>ค่าชำระหนี้ดอกเบี้ย</t>
  </si>
  <si>
    <t>ค่าธรรมเนียมอื่นๆ (ขอใช้น้ำประปา)</t>
  </si>
  <si>
    <t>ค่าใบอนุญาตเกี่ยวกับการควบคุมอาคาร</t>
  </si>
  <si>
    <t>ณ วันที่ 31 ตุลาคม 2558</t>
  </si>
  <si>
    <t>เงินรายรับ (หมายเหตุ 1)</t>
  </si>
  <si>
    <t>รายจ่ายค้างจ่าย (หมายเหตุ 2)</t>
  </si>
  <si>
    <t>เงินรับฝาก (หมายเหตุ 3)</t>
  </si>
  <si>
    <t>เงินทุนสำรองเงินสะสม</t>
  </si>
  <si>
    <t>รายรับจริงประกอบงบทดลองและรายงานรับจ่ายเงิน</t>
  </si>
  <si>
    <t>วันที่ 31 ตุลาคม 2558</t>
  </si>
  <si>
    <t>(1) รายได้จากสาธารณูปโภคและการพาณิชย์</t>
  </si>
  <si>
    <t>(6) ค่าธรรมเนียมอื่นๆ (ขอใช้น้ำประปา)</t>
  </si>
  <si>
    <t>(9) ค่าใบอนุญาตประกอบการสำหรับกิจการที่เป็นอันตรายต่อสุขภาพ</t>
  </si>
  <si>
    <t>(12) ค่าใบอนุญาตเกี่ยวกับการควบคุมอาคาร</t>
  </si>
  <si>
    <t>(1) ภาษีมูลค่าเพิ่มตาม พรบ.กำหนดแผนฯ 2542</t>
  </si>
  <si>
    <t>(2) ภาษีมูลค่าเพิ่มตาม พ.ร.บ.จัดสรรรายได้ฯ</t>
  </si>
  <si>
    <t>(8) เงินที่เก็บตามกฎหมายว่าด้วยอุทยานแห่งชาติ</t>
  </si>
  <si>
    <t>(9) ค่าธรรมเนียมจดทะเบียนสิทธิและนิติกรรมตามประมวลกฎหมายที่ดิน</t>
  </si>
  <si>
    <t>รายได้ที่รัฐบาลอุดหนุนให้โดยระบุวัตถุประสงค์/เฉพาะกิจ</t>
  </si>
  <si>
    <t>หมวดเงินอุดหนุนระบุวัตถุประสงค์/เฉพาะกิจ</t>
  </si>
  <si>
    <t>(1) เงินอุดหนุนระบุวัตถุประสงค์/เฉพาะกิจจากกรมส่งเสริมการปกครองท้องถิ่น</t>
  </si>
  <si>
    <t>(2) เงินอุดหนุนระบุวัตถุประสงค์/เฉพาะกิจจากหน่วยงานอื่น</t>
  </si>
  <si>
    <t>ภาษีมูลค่าเพิ่มตาม พรบ.จัดสรรรายได้</t>
  </si>
  <si>
    <t>เงินที่เก็บตามกฎหมายว่าด้วยอทุยานแห่งชาติ</t>
  </si>
  <si>
    <t>รายละเอียด  ประกอบงบทดลองและรายงานรับ-จ่ายเงิน</t>
  </si>
  <si>
    <r>
      <rPr>
        <b/>
        <u/>
        <sz val="14"/>
        <rFont val="TH SarabunPSK"/>
        <family val="2"/>
      </rPr>
      <t>รายจ่ายค้างจ่าย</t>
    </r>
    <r>
      <rPr>
        <b/>
        <sz val="14"/>
        <rFont val="TH SarabunPSK"/>
        <family val="2"/>
      </rPr>
      <t xml:space="preserve"> (หมายเหตุ 2)</t>
    </r>
  </si>
  <si>
    <r>
      <t>เงินรับฝาก</t>
    </r>
    <r>
      <rPr>
        <b/>
        <sz val="14"/>
        <rFont val="TH SarabunPSK"/>
        <family val="2"/>
      </rPr>
      <t xml:space="preserve">  (หมายเหตุ 3)</t>
    </r>
  </si>
  <si>
    <t>ปีงบประมาณ 2559   ประจำเดือน ตุลาคม</t>
  </si>
  <si>
    <t>เงินอุดหนุนระบุ
วัตถุประสงค์/
เฉพาะกิจ(บาท)</t>
  </si>
  <si>
    <t>ประมาณการ
(บาท)</t>
  </si>
  <si>
    <t>เกิดขึ้นจริง
(บาท)</t>
  </si>
  <si>
    <t>รวม
(บาท)</t>
  </si>
  <si>
    <t>จำนวนเงิน
เดือนนี้
ที่เกิดขึ้นจริง(บาท)</t>
  </si>
  <si>
    <t>เงินอุดหนุนทั่วไปกำหนดวัตถุประสงค์/เฉพาะกิจ</t>
  </si>
  <si>
    <t>รายจ่ายอื่นๆ</t>
  </si>
  <si>
    <t>เงินรับฝากภาษีหัก ณ ที่จ่าย</t>
  </si>
  <si>
    <t>เงินรับฝากเงินประกันสัญญา</t>
  </si>
  <si>
    <t>เงินรับฝากเงินทุนโครงการเศรษฐกิจชุมชน</t>
  </si>
  <si>
    <t>เงินรับฝากภาษ๊ หัก ณ ที่จ่าย</t>
  </si>
  <si>
    <t>เงินรับฝากเงินรอคืนจังหวัด</t>
  </si>
  <si>
    <t>รายงาน รับ - จ่ายเงิน</t>
  </si>
  <si>
    <t>กระดาษทำการกระทบยอดรายจ่ายตามงบประมาณ (จ่ายจากรายรับ)</t>
  </si>
  <si>
    <t>100000 งบกลาง</t>
  </si>
  <si>
    <t>210000 เงินเดือนฝ่ายการเมือง</t>
  </si>
  <si>
    <t>220000 เงินเดือนฝ่ายประจำ</t>
  </si>
  <si>
    <t>310000 ค่าตอบแทน</t>
  </si>
  <si>
    <t>320000 ค่าใช้สอย</t>
  </si>
  <si>
    <t>330000 ค่าวัสดุ</t>
  </si>
  <si>
    <t>340000 ค่าสาธารณูปโภค</t>
  </si>
  <si>
    <t>410000 ค่าครุภัณฑ์</t>
  </si>
  <si>
    <t>420000  ค่าที่ดินและสิ่งก่อสร้าง</t>
  </si>
  <si>
    <t>อาคารต่างๆ</t>
  </si>
  <si>
    <t>ค่าก่อสร้างสิ่งสาธารณูปโภค</t>
  </si>
  <si>
    <t>610000 เงินอุดหนุน</t>
  </si>
  <si>
    <t>510000 รายจ่ายอื่น</t>
  </si>
  <si>
    <t>เงินอุดหนุน อปท.</t>
  </si>
  <si>
    <t>เงินอุดหนุนส่วนราชการ</t>
  </si>
  <si>
    <t>เงินอุดหนุนเอกชน</t>
  </si>
  <si>
    <t>เงินอุดหนุนกิจการที่เป็นสาธารณประโยชน์</t>
  </si>
  <si>
    <t>กระดาษทำการกระทบยอดรายจ่าย (จ่ายจากเงินสะสม)</t>
  </si>
  <si>
    <t>420000 ค่าที่ดินและสิ่งก่อสร้าง</t>
  </si>
  <si>
    <t>เทศบาลตำบลเขาพระ  อำเภอพิปูน จังหวัดนครศรีธรรมราช</t>
  </si>
  <si>
    <t>กระดาษทำการกระทบยอดรายจ่าย (จ่ายจากเงินกู้)</t>
  </si>
  <si>
    <t>กระดาษทำการกระทบยอดการโอนงบประมาณรายจ่าย</t>
  </si>
  <si>
    <t>โอนงบประมาณ เพิ่ม +</t>
  </si>
  <si>
    <t>โอนงบประมาณ (ลด) -</t>
  </si>
  <si>
    <t>เงินช่วยเหลือการศึกษาบุตร</t>
  </si>
  <si>
    <t>เงินช่วยเหลือบุตร</t>
  </si>
  <si>
    <t>ประจำเดือน พฤศจิกายน 2558</t>
  </si>
  <si>
    <t>รับจ่าย พ.ย.2558</t>
  </si>
  <si>
    <t xml:space="preserve"> งบ พ.ย.2558</t>
  </si>
  <si>
    <t>ป้องกันและแก้ไขปัญหาไฟป่าและหมอกควันในพื่นที่และป่าสงวนแห่งชาติ</t>
  </si>
  <si>
    <t>ปีงบประมาณ 2559   ประจำเดือน พฤศจิกายน</t>
  </si>
  <si>
    <t>เงินรับฝากอื่นๆ (ค่ารักษาพยาบาล)</t>
  </si>
  <si>
    <t>ณ วันที่ 30 พฤศจิกายน 2558</t>
  </si>
  <si>
    <t>ณ วันที่  30 พฤศจิกายน 2558</t>
  </si>
  <si>
    <t>ที่ดินและสิ่งก่อสร้าง</t>
  </si>
  <si>
    <t>วันที่ 30 พฤศจิกายน 2558</t>
  </si>
  <si>
    <t>ประจำเดือน ธันวาคม 2558</t>
  </si>
  <si>
    <t>รับจ่าย ธ.ค.2558</t>
  </si>
  <si>
    <t xml:space="preserve"> งบ ธ.ค.2558</t>
  </si>
  <si>
    <t>ปีงบประมาณ 2559   ประจำเดือน ธันวาคม</t>
  </si>
  <si>
    <t>เงินรับฝากอื่นๆ (ค่าตอบแทนหน่วยบริการแพทย์ฉุกเฉิน)</t>
  </si>
  <si>
    <t>รับคืนค่าลงทะเบียนปี 2557</t>
  </si>
  <si>
    <t>ณ วันที่ 31 ธันวาคม 2558</t>
  </si>
  <si>
    <t>วันที่ 31 ธันวาคม 2558</t>
  </si>
  <si>
    <t>ณ วันที่  31 ธันวาคม 2558</t>
  </si>
  <si>
    <t>รับจ่าย ม.ค.2559</t>
  </si>
  <si>
    <t xml:space="preserve"> งบเดือน มกราคม 2559</t>
  </si>
  <si>
    <t>รับจ่าย ก.พ.2559</t>
  </si>
  <si>
    <t xml:space="preserve"> งบ ก.พ.2559</t>
  </si>
  <si>
    <t>รับ-จ่าย มี.ค.2559</t>
  </si>
  <si>
    <t xml:space="preserve"> งบ มี.ค.2559</t>
  </si>
  <si>
    <t>รับจ่าย เม.ย.2559</t>
  </si>
  <si>
    <t xml:space="preserve"> งบ เม.ย.2559</t>
  </si>
  <si>
    <t>รับจ่าย พ.ค.2559</t>
  </si>
  <si>
    <t xml:space="preserve"> งบ พ.ค.2559</t>
  </si>
  <si>
    <t>รับจ่าย มิ.ย.2559</t>
  </si>
  <si>
    <t xml:space="preserve"> งบ มิ.ย.2559</t>
  </si>
  <si>
    <t>รับจ่าย ก.ค.2559</t>
  </si>
  <si>
    <t>งบทดลอง ก.ค.2559</t>
  </si>
  <si>
    <t>รับจ่าย ก.ย.2559</t>
  </si>
  <si>
    <t xml:space="preserve"> งบทดลองก่อนปิดบัญชี ก.ย.2559</t>
  </si>
  <si>
    <t xml:space="preserve"> งบเดือน ส.ค.2559</t>
  </si>
  <si>
    <t>รับจ่าย ส.ค.2559</t>
  </si>
  <si>
    <t>งบทดลองหลังปิดบัญชี ก.ย.2559</t>
  </si>
  <si>
    <t>ปีงบประมาณ 2559   ประจำเดือน มกราคม</t>
  </si>
  <si>
    <t>ณ วันที่ 31 มกราคม 2559</t>
  </si>
  <si>
    <t>วันที่ 31 มกราคม 2559</t>
  </si>
  <si>
    <t>ณ วันที่  31 มกราคม  2559</t>
  </si>
  <si>
    <t>ประจำเดือน มกราคม 2559</t>
  </si>
  <si>
    <t>อื่นๆ(เงินเพิ่ม ผดด.)</t>
  </si>
  <si>
    <t>ค่าใช้จ่ายสำหรับส่งเสริมการบำบัดฟื้นฟู/ผู้ติดยาเสพติด</t>
  </si>
  <si>
    <t>เงินรับฝาก ค่าใช้จ่ายในการจัดเก็บ ภบท.5%</t>
  </si>
  <si>
    <t>เงินรับฝากอื่นๆ (เงินเพิ่ม ผดด.)</t>
  </si>
  <si>
    <t>รับคืนเงินยืม คชจ.ในการเดินทางไปราชการ</t>
  </si>
  <si>
    <t>เงินเพิ่มผู้ดูแลเด็ก</t>
  </si>
  <si>
    <t>เงินรับฝากภาษี หัก ณ ที่จ่าย</t>
  </si>
  <si>
    <t>ปีงบประมาณ 2559   ประจำเดือน กุมภาพันธ์</t>
  </si>
  <si>
    <t>เงินรับฝากอื่นๆ (เงินปันผลสหกรณ์)</t>
  </si>
  <si>
    <t>รับคืนเงินอุดหนุนค่าอาหารกลางวัน</t>
  </si>
  <si>
    <t>ณ วันที่ 29 กุมภาพันธ์ 2559</t>
  </si>
  <si>
    <t>วันที่ 29 กุมภาพันธ์ 2559</t>
  </si>
  <si>
    <t>ณ วันที่  29 กุมภาพันธ์  2559</t>
  </si>
  <si>
    <t>ประจำเดือน กุมภาพันธ์ 2559</t>
  </si>
  <si>
    <t>ประจำเดือน กุมภาพันธ์ 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</si>
</sst>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00"/>
    <numFmt numFmtId="188" formatCode="_-* #,##0_-;\-* #,##0_-;_-* &quot;-&quot;??_-;_-@_-"/>
  </numFmts>
  <fonts count="19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sz val="12"/>
      <color rgb="FFFF0000"/>
      <name val="TH SarabunPSK"/>
      <family val="2"/>
    </font>
    <font>
      <b/>
      <sz val="12"/>
      <color rgb="FFFF0000"/>
      <name val="TH SarabunPSK"/>
      <family val="2"/>
    </font>
    <font>
      <sz val="16"/>
      <color rgb="FFFF0000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4">
    <xf numFmtId="0" fontId="0" fillId="0" borderId="0" xfId="0"/>
    <xf numFmtId="0" fontId="4" fillId="0" borderId="0" xfId="0" applyFont="1"/>
    <xf numFmtId="43" fontId="4" fillId="0" borderId="0" xfId="1" applyFont="1"/>
    <xf numFmtId="0" fontId="3" fillId="0" borderId="0" xfId="0" applyFont="1"/>
    <xf numFmtId="43" fontId="3" fillId="0" borderId="1" xfId="1" applyFont="1" applyBorder="1"/>
    <xf numFmtId="0" fontId="6" fillId="0" borderId="0" xfId="0" applyFont="1"/>
    <xf numFmtId="43" fontId="6" fillId="0" borderId="0" xfId="1" applyFont="1"/>
    <xf numFmtId="43" fontId="7" fillId="0" borderId="2" xfId="1" applyFont="1" applyBorder="1" applyAlignment="1">
      <alignment horizontal="center" vertical="center"/>
    </xf>
    <xf numFmtId="0" fontId="7" fillId="0" borderId="3" xfId="0" applyFont="1" applyBorder="1"/>
    <xf numFmtId="43" fontId="7" fillId="0" borderId="2" xfId="1" applyFont="1" applyBorder="1"/>
    <xf numFmtId="0" fontId="6" fillId="0" borderId="4" xfId="0" applyFont="1" applyBorder="1"/>
    <xf numFmtId="43" fontId="6" fillId="0" borderId="2" xfId="1" applyFont="1" applyBorder="1"/>
    <xf numFmtId="0" fontId="6" fillId="0" borderId="3" xfId="0" applyFont="1" applyBorder="1"/>
    <xf numFmtId="43" fontId="6" fillId="0" borderId="5" xfId="1" applyFont="1" applyBorder="1"/>
    <xf numFmtId="0" fontId="6" fillId="0" borderId="6" xfId="0" applyFont="1" applyBorder="1"/>
    <xf numFmtId="43" fontId="6" fillId="0" borderId="8" xfId="1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10" xfId="0" applyFont="1" applyBorder="1"/>
    <xf numFmtId="0" fontId="5" fillId="0" borderId="0" xfId="0" applyFont="1"/>
    <xf numFmtId="0" fontId="8" fillId="0" borderId="0" xfId="0" applyFont="1"/>
    <xf numFmtId="43" fontId="3" fillId="0" borderId="2" xfId="1" applyFont="1" applyBorder="1"/>
    <xf numFmtId="43" fontId="7" fillId="0" borderId="2" xfId="1" applyFont="1" applyFill="1" applyBorder="1" applyAlignment="1">
      <alignment horizontal="center"/>
    </xf>
    <xf numFmtId="0" fontId="6" fillId="0" borderId="0" xfId="0" applyFont="1" applyFill="1"/>
    <xf numFmtId="0" fontId="6" fillId="0" borderId="13" xfId="0" applyFont="1" applyBorder="1"/>
    <xf numFmtId="0" fontId="7" fillId="0" borderId="13" xfId="0" applyFont="1" applyBorder="1" applyAlignment="1">
      <alignment horizontal="center"/>
    </xf>
    <xf numFmtId="0" fontId="6" fillId="0" borderId="3" xfId="0" applyNumberFormat="1" applyFont="1" applyBorder="1"/>
    <xf numFmtId="0" fontId="7" fillId="0" borderId="0" xfId="0" applyFont="1"/>
    <xf numFmtId="43" fontId="6" fillId="0" borderId="0" xfId="1" applyNumberFormat="1" applyFont="1"/>
    <xf numFmtId="0" fontId="7" fillId="0" borderId="13" xfId="0" applyFont="1" applyBorder="1"/>
    <xf numFmtId="43" fontId="6" fillId="0" borderId="14" xfId="1" applyFont="1" applyBorder="1"/>
    <xf numFmtId="0" fontId="6" fillId="0" borderId="15" xfId="0" applyFont="1" applyBorder="1"/>
    <xf numFmtId="0" fontId="6" fillId="0" borderId="16" xfId="0" applyFont="1" applyBorder="1"/>
    <xf numFmtId="43" fontId="6" fillId="0" borderId="17" xfId="1" applyFont="1" applyBorder="1"/>
    <xf numFmtId="0" fontId="6" fillId="0" borderId="18" xfId="0" applyFont="1" applyBorder="1"/>
    <xf numFmtId="0" fontId="6" fillId="0" borderId="19" xfId="0" applyFont="1" applyBorder="1"/>
    <xf numFmtId="43" fontId="6" fillId="0" borderId="20" xfId="1" applyFont="1" applyBorder="1"/>
    <xf numFmtId="0" fontId="6" fillId="0" borderId="21" xfId="0" applyFont="1" applyBorder="1"/>
    <xf numFmtId="0" fontId="6" fillId="0" borderId="22" xfId="0" applyFont="1" applyBorder="1"/>
    <xf numFmtId="43" fontId="6" fillId="0" borderId="23" xfId="1" applyFont="1" applyBorder="1"/>
    <xf numFmtId="0" fontId="6" fillId="0" borderId="16" xfId="0" applyFont="1" applyBorder="1" applyAlignment="1"/>
    <xf numFmtId="0" fontId="6" fillId="0" borderId="18" xfId="0" applyFont="1" applyBorder="1" applyAlignment="1"/>
    <xf numFmtId="0" fontId="6" fillId="0" borderId="19" xfId="0" applyFont="1" applyBorder="1" applyAlignment="1"/>
    <xf numFmtId="0" fontId="7" fillId="0" borderId="3" xfId="0" applyFont="1" applyBorder="1" applyAlignment="1"/>
    <xf numFmtId="43" fontId="7" fillId="0" borderId="2" xfId="1" applyFont="1" applyFill="1" applyBorder="1"/>
    <xf numFmtId="0" fontId="9" fillId="0" borderId="0" xfId="0" applyFont="1"/>
    <xf numFmtId="43" fontId="9" fillId="0" borderId="2" xfId="1" applyFont="1" applyBorder="1"/>
    <xf numFmtId="0" fontId="9" fillId="0" borderId="17" xfId="0" applyFont="1" applyBorder="1"/>
    <xf numFmtId="43" fontId="9" fillId="0" borderId="23" xfId="1" applyFont="1" applyBorder="1"/>
    <xf numFmtId="43" fontId="8" fillId="0" borderId="17" xfId="1" applyFont="1" applyBorder="1"/>
    <xf numFmtId="43" fontId="9" fillId="0" borderId="17" xfId="1" applyFont="1" applyBorder="1"/>
    <xf numFmtId="43" fontId="6" fillId="0" borderId="26" xfId="1" applyFont="1" applyBorder="1"/>
    <xf numFmtId="0" fontId="7" fillId="0" borderId="13" xfId="0" applyFont="1" applyFill="1" applyBorder="1" applyAlignment="1">
      <alignment horizontal="center"/>
    </xf>
    <xf numFmtId="0" fontId="7" fillId="0" borderId="0" xfId="0" applyFont="1" applyFill="1"/>
    <xf numFmtId="0" fontId="7" fillId="0" borderId="3" xfId="0" applyFont="1" applyFill="1" applyBorder="1" applyAlignment="1"/>
    <xf numFmtId="0" fontId="4" fillId="0" borderId="0" xfId="0" applyFont="1" applyBorder="1" applyAlignment="1"/>
    <xf numFmtId="0" fontId="7" fillId="0" borderId="2" xfId="0" applyFont="1" applyBorder="1" applyAlignment="1">
      <alignment horizontal="center" vertical="center"/>
    </xf>
    <xf numFmtId="187" fontId="6" fillId="0" borderId="8" xfId="0" quotePrefix="1" applyNumberFormat="1" applyFont="1" applyBorder="1" applyAlignment="1">
      <alignment horizontal="center"/>
    </xf>
    <xf numFmtId="43" fontId="6" fillId="0" borderId="8" xfId="1" applyFont="1" applyBorder="1" applyAlignment="1">
      <alignment horizontal="right"/>
    </xf>
    <xf numFmtId="0" fontId="6" fillId="0" borderId="8" xfId="0" quotePrefix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43" fontId="7" fillId="0" borderId="11" xfId="1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0" fontId="6" fillId="0" borderId="6" xfId="0" applyNumberFormat="1" applyFont="1" applyBorder="1"/>
    <xf numFmtId="0" fontId="6" fillId="0" borderId="0" xfId="0" applyNumberFormat="1" applyFont="1" applyBorder="1"/>
    <xf numFmtId="0" fontId="6" fillId="0" borderId="12" xfId="0" applyFont="1" applyBorder="1"/>
    <xf numFmtId="0" fontId="6" fillId="0" borderId="27" xfId="0" applyFont="1" applyBorder="1"/>
    <xf numFmtId="0" fontId="6" fillId="0" borderId="28" xfId="0" applyFont="1" applyBorder="1"/>
    <xf numFmtId="0" fontId="6" fillId="0" borderId="29" xfId="0" applyNumberFormat="1" applyFont="1" applyFill="1" applyBorder="1"/>
    <xf numFmtId="0" fontId="6" fillId="0" borderId="30" xfId="0" applyNumberFormat="1" applyFont="1" applyFill="1" applyBorder="1"/>
    <xf numFmtId="43" fontId="6" fillId="0" borderId="20" xfId="1" applyFont="1" applyFill="1" applyBorder="1"/>
    <xf numFmtId="0" fontId="6" fillId="0" borderId="24" xfId="0" applyFont="1" applyBorder="1"/>
    <xf numFmtId="43" fontId="3" fillId="0" borderId="0" xfId="1" applyFont="1" applyBorder="1"/>
    <xf numFmtId="0" fontId="3" fillId="0" borderId="0" xfId="0" applyFont="1" applyBorder="1"/>
    <xf numFmtId="43" fontId="10" fillId="0" borderId="20" xfId="1" applyFont="1" applyFill="1" applyBorder="1"/>
    <xf numFmtId="43" fontId="10" fillId="0" borderId="23" xfId="1" applyFont="1" applyFill="1" applyBorder="1"/>
    <xf numFmtId="43" fontId="6" fillId="0" borderId="26" xfId="1" applyFont="1" applyFill="1" applyBorder="1"/>
    <xf numFmtId="0" fontId="4" fillId="0" borderId="6" xfId="0" applyFont="1" applyBorder="1"/>
    <xf numFmtId="0" fontId="4" fillId="0" borderId="0" xfId="0" applyFont="1" applyBorder="1"/>
    <xf numFmtId="43" fontId="4" fillId="0" borderId="8" xfId="1" applyFont="1" applyBorder="1"/>
    <xf numFmtId="43" fontId="3" fillId="0" borderId="11" xfId="1" applyFont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3" fontId="7" fillId="0" borderId="0" xfId="1" applyFont="1"/>
    <xf numFmtId="0" fontId="6" fillId="0" borderId="3" xfId="0" applyFont="1" applyFill="1" applyBorder="1"/>
    <xf numFmtId="0" fontId="6" fillId="0" borderId="13" xfId="0" applyFont="1" applyFill="1" applyBorder="1"/>
    <xf numFmtId="43" fontId="6" fillId="0" borderId="2" xfId="1" applyFont="1" applyFill="1" applyBorder="1"/>
    <xf numFmtId="43" fontId="6" fillId="2" borderId="2" xfId="1" applyFont="1" applyFill="1" applyBorder="1"/>
    <xf numFmtId="43" fontId="6" fillId="0" borderId="0" xfId="1" applyFont="1" applyFill="1"/>
    <xf numFmtId="43" fontId="7" fillId="0" borderId="0" xfId="1" applyFont="1" applyFill="1"/>
    <xf numFmtId="43" fontId="12" fillId="0" borderId="0" xfId="1" applyFont="1" applyFill="1"/>
    <xf numFmtId="0" fontId="7" fillId="0" borderId="17" xfId="0" applyFont="1" applyFill="1" applyBorder="1"/>
    <xf numFmtId="0" fontId="6" fillId="0" borderId="18" xfId="0" applyFont="1" applyFill="1" applyBorder="1" applyAlignment="1">
      <alignment horizontal="center"/>
    </xf>
    <xf numFmtId="0" fontId="6" fillId="0" borderId="29" xfId="0" applyFont="1" applyFill="1" applyBorder="1"/>
    <xf numFmtId="43" fontId="7" fillId="0" borderId="20" xfId="1" applyFont="1" applyFill="1" applyBorder="1"/>
    <xf numFmtId="0" fontId="6" fillId="0" borderId="27" xfId="0" applyFont="1" applyFill="1" applyBorder="1" applyAlignment="1">
      <alignment horizontal="center"/>
    </xf>
    <xf numFmtId="0" fontId="6" fillId="0" borderId="30" xfId="0" applyFont="1" applyFill="1" applyBorder="1"/>
    <xf numFmtId="43" fontId="7" fillId="0" borderId="26" xfId="1" applyFont="1" applyFill="1" applyBorder="1"/>
    <xf numFmtId="43" fontId="7" fillId="0" borderId="23" xfId="1" applyFont="1" applyFill="1" applyBorder="1"/>
    <xf numFmtId="43" fontId="6" fillId="0" borderId="17" xfId="1" applyFont="1" applyFill="1" applyBorder="1"/>
    <xf numFmtId="43" fontId="7" fillId="0" borderId="17" xfId="1" applyFont="1" applyFill="1" applyBorder="1"/>
    <xf numFmtId="0" fontId="6" fillId="0" borderId="29" xfId="0" applyFont="1" applyFill="1" applyBorder="1" applyAlignment="1">
      <alignment horizontal="left"/>
    </xf>
    <xf numFmtId="43" fontId="6" fillId="0" borderId="2" xfId="1" applyFont="1" applyFill="1" applyBorder="1" applyAlignment="1">
      <alignment horizontal="center"/>
    </xf>
    <xf numFmtId="43" fontId="10" fillId="0" borderId="2" xfId="1" applyFont="1" applyFill="1" applyBorder="1"/>
    <xf numFmtId="43" fontId="7" fillId="3" borderId="2" xfId="1" applyFont="1" applyFill="1" applyBorder="1"/>
    <xf numFmtId="0" fontId="6" fillId="4" borderId="0" xfId="0" applyFont="1" applyFill="1"/>
    <xf numFmtId="0" fontId="6" fillId="0" borderId="6" xfId="0" applyFont="1" applyBorder="1" applyAlignment="1"/>
    <xf numFmtId="43" fontId="7" fillId="5" borderId="2" xfId="1" applyFont="1" applyFill="1" applyBorder="1"/>
    <xf numFmtId="43" fontId="7" fillId="6" borderId="2" xfId="1" applyFont="1" applyFill="1" applyBorder="1"/>
    <xf numFmtId="43" fontId="6" fillId="6" borderId="0" xfId="1" applyFont="1" applyFill="1"/>
    <xf numFmtId="0" fontId="6" fillId="6" borderId="0" xfId="0" applyFont="1" applyFill="1"/>
    <xf numFmtId="43" fontId="6" fillId="5" borderId="0" xfId="1" applyFont="1" applyFill="1"/>
    <xf numFmtId="0" fontId="6" fillId="5" borderId="0" xfId="0" applyFont="1" applyFill="1"/>
    <xf numFmtId="0" fontId="7" fillId="3" borderId="3" xfId="0" applyFont="1" applyFill="1" applyBorder="1"/>
    <xf numFmtId="0" fontId="7" fillId="3" borderId="13" xfId="0" applyFont="1" applyFill="1" applyBorder="1"/>
    <xf numFmtId="43" fontId="6" fillId="3" borderId="2" xfId="1" applyFont="1" applyFill="1" applyBorder="1"/>
    <xf numFmtId="43" fontId="7" fillId="3" borderId="0" xfId="1" applyFont="1" applyFill="1"/>
    <xf numFmtId="0" fontId="7" fillId="3" borderId="0" xfId="0" applyFont="1" applyFill="1"/>
    <xf numFmtId="43" fontId="6" fillId="4" borderId="0" xfId="1" applyFont="1" applyFill="1"/>
    <xf numFmtId="43" fontId="7" fillId="4" borderId="2" xfId="1" applyFont="1" applyFill="1" applyBorder="1" applyAlignment="1">
      <alignment horizontal="center"/>
    </xf>
    <xf numFmtId="43" fontId="6" fillId="4" borderId="2" xfId="1" applyFont="1" applyFill="1" applyBorder="1" applyAlignment="1">
      <alignment horizontal="center"/>
    </xf>
    <xf numFmtId="43" fontId="6" fillId="0" borderId="28" xfId="1" applyFont="1" applyBorder="1"/>
    <xf numFmtId="43" fontId="10" fillId="0" borderId="26" xfId="1" applyFont="1" applyFill="1" applyBorder="1"/>
    <xf numFmtId="43" fontId="6" fillId="0" borderId="35" xfId="1" applyFont="1" applyBorder="1"/>
    <xf numFmtId="0" fontId="3" fillId="0" borderId="2" xfId="0" applyFont="1" applyBorder="1" applyAlignment="1">
      <alignment horizontal="center" vertical="center"/>
    </xf>
    <xf numFmtId="43" fontId="4" fillId="0" borderId="0" xfId="1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4" fillId="0" borderId="0" xfId="0" applyNumberFormat="1" applyFont="1" applyBorder="1" applyAlignment="1">
      <alignment horizontal="center"/>
    </xf>
    <xf numFmtId="0" fontId="7" fillId="7" borderId="9" xfId="0" applyFont="1" applyFill="1" applyBorder="1"/>
    <xf numFmtId="0" fontId="7" fillId="7" borderId="10" xfId="0" applyFont="1" applyFill="1" applyBorder="1"/>
    <xf numFmtId="43" fontId="7" fillId="7" borderId="5" xfId="1" applyFont="1" applyFill="1" applyBorder="1"/>
    <xf numFmtId="43" fontId="6" fillId="7" borderId="5" xfId="1" applyFont="1" applyFill="1" applyBorder="1"/>
    <xf numFmtId="43" fontId="7" fillId="7" borderId="0" xfId="1" applyFont="1" applyFill="1" applyBorder="1"/>
    <xf numFmtId="0" fontId="7" fillId="7" borderId="0" xfId="0" applyFont="1" applyFill="1" applyBorder="1"/>
    <xf numFmtId="0" fontId="7" fillId="7" borderId="4" xfId="0" applyFont="1" applyFill="1" applyBorder="1"/>
    <xf numFmtId="0" fontId="7" fillId="7" borderId="12" xfId="0" applyFont="1" applyFill="1" applyBorder="1"/>
    <xf numFmtId="43" fontId="7" fillId="7" borderId="14" xfId="1" applyFont="1" applyFill="1" applyBorder="1"/>
    <xf numFmtId="43" fontId="6" fillId="7" borderId="14" xfId="1" applyFont="1" applyFill="1" applyBorder="1"/>
    <xf numFmtId="0" fontId="7" fillId="7" borderId="3" xfId="0" applyFont="1" applyFill="1" applyBorder="1"/>
    <xf numFmtId="0" fontId="7" fillId="7" borderId="13" xfId="0" applyFont="1" applyFill="1" applyBorder="1"/>
    <xf numFmtId="43" fontId="7" fillId="7" borderId="2" xfId="1" applyFont="1" applyFill="1" applyBorder="1"/>
    <xf numFmtId="43" fontId="6" fillId="7" borderId="2" xfId="1" applyFont="1" applyFill="1" applyBorder="1"/>
    <xf numFmtId="43" fontId="7" fillId="7" borderId="0" xfId="1" applyFont="1" applyFill="1"/>
    <xf numFmtId="0" fontId="7" fillId="7" borderId="0" xfId="0" applyFont="1" applyFill="1"/>
    <xf numFmtId="43" fontId="6" fillId="7" borderId="0" xfId="1" applyFont="1" applyFill="1"/>
    <xf numFmtId="0" fontId="6" fillId="7" borderId="0" xfId="0" applyFont="1" applyFill="1"/>
    <xf numFmtId="0" fontId="6" fillId="0" borderId="25" xfId="0" applyFont="1" applyBorder="1"/>
    <xf numFmtId="0" fontId="3" fillId="0" borderId="9" xfId="0" applyFont="1" applyBorder="1"/>
    <xf numFmtId="43" fontId="3" fillId="0" borderId="8" xfId="1" applyFont="1" applyBorder="1"/>
    <xf numFmtId="0" fontId="3" fillId="0" borderId="6" xfId="0" applyFont="1" applyBorder="1"/>
    <xf numFmtId="43" fontId="4" fillId="0" borderId="8" xfId="1" applyFont="1" applyFill="1" applyBorder="1"/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10" xfId="1" applyFont="1" applyBorder="1"/>
    <xf numFmtId="43" fontId="3" fillId="0" borderId="12" xfId="1" applyFont="1" applyBorder="1"/>
    <xf numFmtId="43" fontId="3" fillId="0" borderId="5" xfId="1" applyFont="1" applyBorder="1"/>
    <xf numFmtId="0" fontId="3" fillId="0" borderId="3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/>
    <xf numFmtId="0" fontId="3" fillId="0" borderId="11" xfId="0" applyFont="1" applyFill="1" applyBorder="1" applyAlignment="1"/>
    <xf numFmtId="43" fontId="3" fillId="0" borderId="11" xfId="1" applyFont="1" applyFill="1" applyBorder="1" applyAlignment="1"/>
    <xf numFmtId="0" fontId="7" fillId="0" borderId="32" xfId="0" applyFont="1" applyFill="1" applyBorder="1"/>
    <xf numFmtId="43" fontId="6" fillId="0" borderId="29" xfId="1" applyFont="1" applyFill="1" applyBorder="1"/>
    <xf numFmtId="43" fontId="6" fillId="0" borderId="30" xfId="1" applyFont="1" applyFill="1" applyBorder="1"/>
    <xf numFmtId="43" fontId="7" fillId="0" borderId="29" xfId="1" applyFont="1" applyFill="1" applyBorder="1"/>
    <xf numFmtId="43" fontId="6" fillId="0" borderId="32" xfId="1" applyFont="1" applyFill="1" applyBorder="1"/>
    <xf numFmtId="43" fontId="10" fillId="0" borderId="2" xfId="1" applyFont="1" applyBorder="1"/>
    <xf numFmtId="43" fontId="11" fillId="0" borderId="2" xfId="1" applyFont="1" applyBorder="1"/>
    <xf numFmtId="43" fontId="10" fillId="0" borderId="17" xfId="1" applyFont="1" applyBorder="1"/>
    <xf numFmtId="43" fontId="10" fillId="0" borderId="20" xfId="1" applyFont="1" applyBorder="1"/>
    <xf numFmtId="43" fontId="10" fillId="0" borderId="23" xfId="1" applyFont="1" applyBorder="1"/>
    <xf numFmtId="43" fontId="11" fillId="7" borderId="2" xfId="1" applyFont="1" applyFill="1" applyBorder="1"/>
    <xf numFmtId="43" fontId="10" fillId="0" borderId="26" xfId="1" applyFont="1" applyBorder="1"/>
    <xf numFmtId="43" fontId="11" fillId="0" borderId="2" xfId="1" applyFont="1" applyFill="1" applyBorder="1"/>
    <xf numFmtId="43" fontId="11" fillId="0" borderId="2" xfId="1" applyFont="1" applyFill="1" applyBorder="1" applyAlignment="1">
      <alignment horizontal="center"/>
    </xf>
    <xf numFmtId="43" fontId="10" fillId="0" borderId="0" xfId="1" applyNumberFormat="1" applyFont="1"/>
    <xf numFmtId="43" fontId="10" fillId="0" borderId="0" xfId="1" applyFont="1"/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3" fillId="0" borderId="8" xfId="0" applyFont="1" applyBorder="1"/>
    <xf numFmtId="0" fontId="14" fillId="0" borderId="8" xfId="0" applyFont="1" applyBorder="1"/>
    <xf numFmtId="0" fontId="14" fillId="0" borderId="8" xfId="0" applyFont="1" applyBorder="1" applyAlignment="1">
      <alignment horizontal="center"/>
    </xf>
    <xf numFmtId="0" fontId="14" fillId="0" borderId="7" xfId="0" applyFont="1" applyBorder="1"/>
    <xf numFmtId="0" fontId="14" fillId="0" borderId="0" xfId="0" applyFont="1"/>
    <xf numFmtId="0" fontId="14" fillId="0" borderId="8" xfId="0" quotePrefix="1" applyFont="1" applyBorder="1" applyAlignment="1">
      <alignment horizontal="center"/>
    </xf>
    <xf numFmtId="43" fontId="14" fillId="0" borderId="8" xfId="1" applyFont="1" applyBorder="1"/>
    <xf numFmtId="43" fontId="14" fillId="0" borderId="8" xfId="1" applyNumberFormat="1" applyFont="1" applyBorder="1"/>
    <xf numFmtId="43" fontId="14" fillId="0" borderId="7" xfId="1" applyFont="1" applyBorder="1"/>
    <xf numFmtId="43" fontId="13" fillId="0" borderId="8" xfId="1" applyFont="1" applyBorder="1"/>
    <xf numFmtId="43" fontId="13" fillId="0" borderId="2" xfId="1" applyFont="1" applyBorder="1"/>
    <xf numFmtId="43" fontId="14" fillId="0" borderId="5" xfId="1" applyFont="1" applyBorder="1"/>
    <xf numFmtId="43" fontId="15" fillId="0" borderId="8" xfId="1" applyFont="1" applyBorder="1" applyAlignment="1"/>
    <xf numFmtId="43" fontId="15" fillId="0" borderId="8" xfId="1" applyFont="1" applyBorder="1"/>
    <xf numFmtId="43" fontId="14" fillId="0" borderId="8" xfId="0" applyNumberFormat="1" applyFont="1" applyBorder="1"/>
    <xf numFmtId="43" fontId="13" fillId="0" borderId="11" xfId="0" applyNumberFormat="1" applyFont="1" applyBorder="1"/>
    <xf numFmtId="43" fontId="13" fillId="0" borderId="0" xfId="0" applyNumberFormat="1" applyFont="1" applyBorder="1"/>
    <xf numFmtId="43" fontId="14" fillId="0" borderId="14" xfId="1" applyFont="1" applyBorder="1"/>
    <xf numFmtId="0" fontId="16" fillId="0" borderId="0" xfId="0" applyFont="1"/>
    <xf numFmtId="0" fontId="17" fillId="0" borderId="0" xfId="0" applyFont="1"/>
    <xf numFmtId="0" fontId="17" fillId="0" borderId="0" xfId="0" applyFont="1" applyAlignment="1"/>
    <xf numFmtId="0" fontId="17" fillId="0" borderId="2" xfId="0" applyFont="1" applyBorder="1" applyAlignment="1">
      <alignment horizontal="center"/>
    </xf>
    <xf numFmtId="0" fontId="16" fillId="0" borderId="6" xfId="0" applyFont="1" applyBorder="1"/>
    <xf numFmtId="0" fontId="16" fillId="0" borderId="5" xfId="0" applyFont="1" applyBorder="1"/>
    <xf numFmtId="0" fontId="16" fillId="0" borderId="8" xfId="0" applyFont="1" applyBorder="1"/>
    <xf numFmtId="0" fontId="16" fillId="0" borderId="14" xfId="0" applyFont="1" applyBorder="1"/>
    <xf numFmtId="0" fontId="18" fillId="0" borderId="5" xfId="0" applyFont="1" applyBorder="1"/>
    <xf numFmtId="0" fontId="16" fillId="0" borderId="8" xfId="0" applyFont="1" applyBorder="1" applyAlignment="1">
      <alignment horizontal="left" indent="2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/>
    <xf numFmtId="0" fontId="18" fillId="0" borderId="6" xfId="0" applyFont="1" applyBorder="1"/>
    <xf numFmtId="0" fontId="16" fillId="0" borderId="6" xfId="0" applyFont="1" applyBorder="1" applyAlignment="1">
      <alignment horizontal="left" indent="2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43" fontId="16" fillId="0" borderId="8" xfId="1" applyFont="1" applyBorder="1"/>
    <xf numFmtId="43" fontId="17" fillId="0" borderId="2" xfId="1" applyFont="1" applyBorder="1"/>
    <xf numFmtId="43" fontId="17" fillId="0" borderId="2" xfId="0" applyNumberFormat="1" applyFont="1" applyBorder="1"/>
    <xf numFmtId="43" fontId="17" fillId="0" borderId="0" xfId="0" applyNumberFormat="1" applyFont="1"/>
    <xf numFmtId="0" fontId="16" fillId="0" borderId="0" xfId="0" applyFont="1" applyAlignment="1">
      <alignment horizontal="center"/>
    </xf>
    <xf numFmtId="43" fontId="16" fillId="0" borderId="0" xfId="0" applyNumberFormat="1" applyFont="1"/>
    <xf numFmtId="0" fontId="16" fillId="0" borderId="0" xfId="0" applyFont="1" applyAlignment="1">
      <alignment horizontal="left"/>
    </xf>
    <xf numFmtId="0" fontId="16" fillId="0" borderId="0" xfId="0" applyFont="1" applyAlignment="1"/>
    <xf numFmtId="0" fontId="4" fillId="0" borderId="6" xfId="0" applyFont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8" xfId="0" quotePrefix="1" applyFont="1" applyFill="1" applyBorder="1" applyAlignment="1">
      <alignment horizontal="center"/>
    </xf>
    <xf numFmtId="0" fontId="6" fillId="0" borderId="7" xfId="0" quotePrefix="1" applyFont="1" applyFill="1" applyBorder="1" applyAlignment="1">
      <alignment horizontal="center"/>
    </xf>
    <xf numFmtId="0" fontId="6" fillId="0" borderId="7" xfId="0" applyFont="1" applyFill="1" applyBorder="1" applyAlignment="1">
      <alignment horizontal="left"/>
    </xf>
    <xf numFmtId="188" fontId="6" fillId="0" borderId="8" xfId="1" quotePrefix="1" applyNumberFormat="1" applyFont="1" applyFill="1" applyBorder="1" applyAlignment="1">
      <alignment horizontal="center"/>
    </xf>
    <xf numFmtId="43" fontId="6" fillId="8" borderId="2" xfId="1" applyFont="1" applyFill="1" applyBorder="1"/>
    <xf numFmtId="0" fontId="6" fillId="0" borderId="27" xfId="0" applyFont="1" applyBorder="1" applyAlignment="1"/>
    <xf numFmtId="0" fontId="6" fillId="0" borderId="28" xfId="0" applyFont="1" applyBorder="1" applyAlignment="1"/>
    <xf numFmtId="0" fontId="6" fillId="0" borderId="13" xfId="0" applyNumberFormat="1" applyFont="1" applyBorder="1" applyAlignment="1">
      <alignment horizontal="left"/>
    </xf>
    <xf numFmtId="43" fontId="6" fillId="0" borderId="19" xfId="1" applyFont="1" applyBorder="1"/>
    <xf numFmtId="43" fontId="6" fillId="0" borderId="0" xfId="1" applyFont="1" applyBorder="1"/>
    <xf numFmtId="43" fontId="7" fillId="8" borderId="2" xfId="1" applyFont="1" applyFill="1" applyBorder="1"/>
    <xf numFmtId="0" fontId="6" fillId="8" borderId="0" xfId="0" applyFont="1" applyFill="1"/>
    <xf numFmtId="0" fontId="6" fillId="0" borderId="8" xfId="0" applyFont="1" applyFill="1" applyBorder="1"/>
    <xf numFmtId="0" fontId="6" fillId="0" borderId="20" xfId="0" applyFont="1" applyFill="1" applyBorder="1"/>
    <xf numFmtId="43" fontId="6" fillId="0" borderId="23" xfId="1" applyFont="1" applyFill="1" applyBorder="1"/>
    <xf numFmtId="43" fontId="10" fillId="0" borderId="1" xfId="1" applyFont="1" applyBorder="1"/>
    <xf numFmtId="43" fontId="11" fillId="0" borderId="0" xfId="1" applyFont="1" applyFill="1"/>
    <xf numFmtId="0" fontId="6" fillId="0" borderId="3" xfId="0" applyNumberFormat="1" applyFont="1" applyBorder="1" applyAlignment="1">
      <alignment horizontal="left"/>
    </xf>
    <xf numFmtId="0" fontId="6" fillId="0" borderId="3" xfId="0" applyNumberFormat="1" applyFont="1" applyBorder="1" applyAlignment="1">
      <alignment horizontal="left"/>
    </xf>
    <xf numFmtId="43" fontId="14" fillId="0" borderId="2" xfId="1" applyFont="1" applyFill="1" applyBorder="1"/>
    <xf numFmtId="0" fontId="7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8" borderId="3" xfId="0" applyFont="1" applyFill="1" applyBorder="1" applyAlignment="1"/>
    <xf numFmtId="0" fontId="7" fillId="8" borderId="13" xfId="0" applyFont="1" applyFill="1" applyBorder="1" applyAlignment="1">
      <alignment horizontal="center"/>
    </xf>
    <xf numFmtId="43" fontId="7" fillId="8" borderId="0" xfId="1" applyFont="1" applyFill="1"/>
    <xf numFmtId="0" fontId="7" fillId="8" borderId="0" xfId="0" applyFont="1" applyFill="1"/>
    <xf numFmtId="0" fontId="6" fillId="8" borderId="3" xfId="0" applyFont="1" applyFill="1" applyBorder="1" applyAlignment="1">
      <alignment horizontal="left"/>
    </xf>
    <xf numFmtId="0" fontId="6" fillId="8" borderId="13" xfId="0" applyFont="1" applyFill="1" applyBorder="1"/>
    <xf numFmtId="43" fontId="11" fillId="8" borderId="2" xfId="1" applyFont="1" applyFill="1" applyBorder="1"/>
    <xf numFmtId="43" fontId="6" fillId="8" borderId="0" xfId="1" applyFont="1" applyFill="1"/>
    <xf numFmtId="0" fontId="4" fillId="0" borderId="6" xfId="0" applyFont="1" applyFill="1" applyBorder="1"/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/>
    <xf numFmtId="0" fontId="9" fillId="0" borderId="2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1" xfId="0" applyFont="1" applyBorder="1" applyAlignment="1"/>
    <xf numFmtId="0" fontId="6" fillId="0" borderId="24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7" fillId="0" borderId="2" xfId="0" quotePrefix="1" applyFont="1" applyFill="1" applyBorder="1" applyAlignment="1">
      <alignment horizontal="center"/>
    </xf>
    <xf numFmtId="0" fontId="7" fillId="0" borderId="33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6" fillId="0" borderId="7" xfId="0" applyFont="1" applyFill="1" applyBorder="1"/>
    <xf numFmtId="49" fontId="7" fillId="0" borderId="33" xfId="0" applyNumberFormat="1" applyFont="1" applyFill="1" applyBorder="1" applyAlignment="1">
      <alignment horizontal="center"/>
    </xf>
    <xf numFmtId="43" fontId="10" fillId="0" borderId="35" xfId="1" applyFont="1" applyBorder="1"/>
    <xf numFmtId="0" fontId="3" fillId="0" borderId="3" xfId="0" applyFont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3" fontId="3" fillId="0" borderId="0" xfId="1" applyFont="1" applyAlignment="1">
      <alignment horizontal="center"/>
    </xf>
    <xf numFmtId="43" fontId="3" fillId="0" borderId="0" xfId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4" fillId="0" borderId="0" xfId="1" applyFont="1" applyAlignment="1">
      <alignment horizontal="center"/>
    </xf>
    <xf numFmtId="43" fontId="3" fillId="0" borderId="0" xfId="0" applyNumberFormat="1" applyFont="1"/>
    <xf numFmtId="0" fontId="13" fillId="0" borderId="36" xfId="0" applyFont="1" applyBorder="1" applyAlignment="1">
      <alignment horizontal="center" vertical="center" wrapText="1"/>
    </xf>
    <xf numFmtId="43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8" xfId="0" applyFont="1" applyBorder="1" applyAlignment="1">
      <alignment horizontal="left" indent="1"/>
    </xf>
    <xf numFmtId="0" fontId="14" fillId="0" borderId="0" xfId="0" applyFont="1" applyBorder="1" applyAlignment="1">
      <alignment horizontal="left" indent="1"/>
    </xf>
    <xf numFmtId="0" fontId="7" fillId="0" borderId="2" xfId="0" quotePrefix="1" applyFont="1" applyFill="1" applyBorder="1" applyAlignment="1">
      <alignment horizontal="center"/>
    </xf>
    <xf numFmtId="0" fontId="7" fillId="0" borderId="33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4" fillId="0" borderId="14" xfId="0" applyFont="1" applyBorder="1" applyAlignment="1">
      <alignment horizontal="left" indent="1"/>
    </xf>
    <xf numFmtId="0" fontId="14" fillId="0" borderId="14" xfId="0" quotePrefix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43" fontId="13" fillId="0" borderId="2" xfId="0" applyNumberFormat="1" applyFont="1" applyBorder="1"/>
    <xf numFmtId="0" fontId="13" fillId="0" borderId="2" xfId="0" applyFont="1" applyBorder="1"/>
    <xf numFmtId="0" fontId="13" fillId="0" borderId="8" xfId="0" quotePrefix="1" applyFont="1" applyBorder="1" applyAlignment="1">
      <alignment horizontal="center"/>
    </xf>
    <xf numFmtId="0" fontId="13" fillId="0" borderId="0" xfId="0" applyFont="1" applyBorder="1" applyAlignment="1">
      <alignment horizontal="right" indent="1"/>
    </xf>
    <xf numFmtId="0" fontId="13" fillId="0" borderId="33" xfId="0" applyFont="1" applyBorder="1"/>
    <xf numFmtId="43" fontId="13" fillId="0" borderId="7" xfId="1" applyFont="1" applyBorder="1"/>
    <xf numFmtId="0" fontId="13" fillId="0" borderId="8" xfId="0" applyFont="1" applyBorder="1" applyAlignment="1">
      <alignment horizontal="right"/>
    </xf>
    <xf numFmtId="0" fontId="13" fillId="0" borderId="8" xfId="0" applyFont="1" applyBorder="1" applyAlignment="1">
      <alignment horizontal="center"/>
    </xf>
    <xf numFmtId="43" fontId="14" fillId="0" borderId="7" xfId="1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43" fontId="14" fillId="0" borderId="8" xfId="1" applyFont="1" applyBorder="1" applyAlignment="1">
      <alignment horizontal="left"/>
    </xf>
    <xf numFmtId="43" fontId="6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43" fontId="14" fillId="0" borderId="37" xfId="1" applyFont="1" applyBorder="1"/>
    <xf numFmtId="0" fontId="6" fillId="0" borderId="38" xfId="0" applyFont="1" applyFill="1" applyBorder="1" applyAlignment="1">
      <alignment horizontal="left"/>
    </xf>
    <xf numFmtId="0" fontId="6" fillId="0" borderId="35" xfId="0" applyFont="1" applyFill="1" applyBorder="1"/>
    <xf numFmtId="0" fontId="6" fillId="0" borderId="38" xfId="0" applyFont="1" applyFill="1" applyBorder="1"/>
    <xf numFmtId="0" fontId="6" fillId="0" borderId="25" xfId="0" applyFont="1" applyFill="1" applyBorder="1" applyAlignment="1">
      <alignment horizontal="center"/>
    </xf>
    <xf numFmtId="43" fontId="12" fillId="0" borderId="0" xfId="1" applyFont="1" applyFill="1" applyBorder="1"/>
    <xf numFmtId="0" fontId="7" fillId="0" borderId="0" xfId="0" applyFont="1" applyFill="1" applyBorder="1" applyAlignment="1"/>
    <xf numFmtId="0" fontId="7" fillId="0" borderId="12" xfId="0" applyFont="1" applyFill="1" applyBorder="1" applyAlignment="1"/>
    <xf numFmtId="0" fontId="7" fillId="0" borderId="33" xfId="0" quotePrefix="1" applyFont="1" applyFill="1" applyBorder="1" applyAlignment="1">
      <alignment horizontal="center"/>
    </xf>
    <xf numFmtId="0" fontId="7" fillId="0" borderId="2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quotePrefix="1" applyFont="1" applyFill="1" applyBorder="1" applyAlignment="1">
      <alignment horizontal="center"/>
    </xf>
    <xf numFmtId="0" fontId="7" fillId="0" borderId="33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2" xfId="0" quotePrefix="1" applyFont="1" applyBorder="1" applyAlignment="1">
      <alignment horizontal="center"/>
    </xf>
    <xf numFmtId="43" fontId="6" fillId="0" borderId="0" xfId="0" applyNumberFormat="1" applyFont="1"/>
    <xf numFmtId="0" fontId="3" fillId="0" borderId="0" xfId="0" applyFont="1" applyAlignment="1"/>
    <xf numFmtId="43" fontId="4" fillId="0" borderId="0" xfId="0" applyNumberFormat="1" applyFont="1"/>
    <xf numFmtId="0" fontId="6" fillId="0" borderId="21" xfId="0" applyFont="1" applyFill="1" applyBorder="1" applyAlignment="1">
      <alignment horizontal="center"/>
    </xf>
    <xf numFmtId="0" fontId="6" fillId="0" borderId="31" xfId="0" applyFont="1" applyFill="1" applyBorder="1"/>
    <xf numFmtId="43" fontId="6" fillId="0" borderId="31" xfId="1" applyFont="1" applyFill="1" applyBorder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3" fontId="9" fillId="0" borderId="8" xfId="1" applyFont="1" applyFill="1" applyBorder="1"/>
    <xf numFmtId="0" fontId="7" fillId="0" borderId="2" xfId="0" quotePrefix="1" applyFont="1" applyFill="1" applyBorder="1" applyAlignment="1">
      <alignment horizontal="center"/>
    </xf>
    <xf numFmtId="0" fontId="7" fillId="0" borderId="33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2" xfId="0" quotePrefix="1" applyFont="1" applyBorder="1" applyAlignment="1">
      <alignment horizontal="center"/>
    </xf>
    <xf numFmtId="43" fontId="14" fillId="0" borderId="8" xfId="1" applyFont="1" applyFill="1" applyBorder="1"/>
    <xf numFmtId="43" fontId="14" fillId="0" borderId="8" xfId="1" applyNumberFormat="1" applyFont="1" applyFill="1" applyBorder="1"/>
    <xf numFmtId="0" fontId="14" fillId="0" borderId="8" xfId="0" applyFont="1" applyFill="1" applyBorder="1" applyAlignment="1">
      <alignment horizontal="left" indent="1"/>
    </xf>
    <xf numFmtId="0" fontId="14" fillId="0" borderId="8" xfId="0" quotePrefix="1" applyFont="1" applyFill="1" applyBorder="1" applyAlignment="1">
      <alignment horizontal="center"/>
    </xf>
    <xf numFmtId="43" fontId="15" fillId="0" borderId="8" xfId="1" applyFont="1" applyFill="1" applyBorder="1"/>
    <xf numFmtId="0" fontId="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quotePrefix="1" applyFont="1" applyFill="1" applyBorder="1" applyAlignment="1">
      <alignment horizontal="center"/>
    </xf>
    <xf numFmtId="0" fontId="7" fillId="0" borderId="33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43" fontId="6" fillId="0" borderId="0" xfId="0" applyNumberFormat="1" applyFont="1" applyFill="1"/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43" fontId="14" fillId="0" borderId="20" xfId="1" applyFont="1" applyFill="1" applyBorder="1"/>
    <xf numFmtId="0" fontId="7" fillId="0" borderId="2" xfId="0" quotePrefix="1" applyFont="1" applyFill="1" applyBorder="1" applyAlignment="1">
      <alignment horizontal="center"/>
    </xf>
    <xf numFmtId="0" fontId="7" fillId="0" borderId="33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9" fillId="0" borderId="2" xfId="0" quotePrefix="1" applyFont="1" applyBorder="1" applyAlignment="1">
      <alignment horizontal="center"/>
    </xf>
    <xf numFmtId="43" fontId="0" fillId="0" borderId="0" xfId="0" applyNumberFormat="1"/>
    <xf numFmtId="43" fontId="7" fillId="4" borderId="3" xfId="1" applyFont="1" applyFill="1" applyBorder="1" applyAlignment="1">
      <alignment horizontal="center"/>
    </xf>
    <xf numFmtId="43" fontId="7" fillId="4" borderId="33" xfId="1" applyFont="1" applyFill="1" applyBorder="1" applyAlignment="1">
      <alignment horizontal="center"/>
    </xf>
    <xf numFmtId="17" fontId="7" fillId="4" borderId="3" xfId="1" applyNumberFormat="1" applyFont="1" applyFill="1" applyBorder="1" applyAlignment="1">
      <alignment horizontal="center"/>
    </xf>
    <xf numFmtId="43" fontId="6" fillId="4" borderId="3" xfId="1" applyFont="1" applyFill="1" applyBorder="1" applyAlignment="1">
      <alignment horizontal="center"/>
    </xf>
    <xf numFmtId="43" fontId="6" fillId="4" borderId="33" xfId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33" xfId="0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33" xfId="0" applyFont="1" applyFill="1" applyBorder="1" applyAlignment="1">
      <alignment horizontal="left"/>
    </xf>
    <xf numFmtId="0" fontId="7" fillId="7" borderId="3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6" fillId="0" borderId="3" xfId="0" applyNumberFormat="1" applyFont="1" applyBorder="1" applyAlignment="1">
      <alignment horizontal="left"/>
    </xf>
    <xf numFmtId="0" fontId="6" fillId="0" borderId="13" xfId="0" applyNumberFormat="1" applyFont="1" applyBorder="1" applyAlignment="1">
      <alignment horizontal="left"/>
    </xf>
    <xf numFmtId="0" fontId="6" fillId="0" borderId="33" xfId="0" applyNumberFormat="1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5" fontId="7" fillId="0" borderId="12" xfId="0" applyNumberFormat="1" applyFont="1" applyBorder="1" applyAlignment="1">
      <alignment horizontal="center"/>
    </xf>
    <xf numFmtId="43" fontId="7" fillId="0" borderId="0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left"/>
    </xf>
    <xf numFmtId="0" fontId="7" fillId="0" borderId="32" xfId="0" applyFont="1" applyFill="1" applyBorder="1" applyAlignment="1">
      <alignment horizontal="left"/>
    </xf>
    <xf numFmtId="0" fontId="7" fillId="0" borderId="2" xfId="0" quotePrefix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quotePrefix="1" applyFont="1" applyFill="1" applyBorder="1" applyAlignment="1">
      <alignment horizontal="center"/>
    </xf>
    <xf numFmtId="0" fontId="7" fillId="0" borderId="33" xfId="0" quotePrefix="1" applyFont="1" applyFill="1" applyBorder="1" applyAlignment="1">
      <alignment horizontal="center"/>
    </xf>
    <xf numFmtId="0" fontId="7" fillId="0" borderId="13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21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quotePrefix="1" applyFont="1" applyBorder="1" applyAlignment="1">
      <alignment horizontal="center"/>
    </xf>
    <xf numFmtId="0" fontId="9" fillId="0" borderId="3" xfId="0" quotePrefix="1" applyFont="1" applyBorder="1" applyAlignment="1">
      <alignment horizontal="center"/>
    </xf>
    <xf numFmtId="0" fontId="9" fillId="0" borderId="13" xfId="0" quotePrefix="1" applyFont="1" applyBorder="1" applyAlignment="1">
      <alignment horizontal="center"/>
    </xf>
    <xf numFmtId="0" fontId="9" fillId="0" borderId="33" xfId="0" quotePrefix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C00000"/>
  </sheetPr>
  <dimension ref="A1:CG175"/>
  <sheetViews>
    <sheetView view="pageBreakPreview" zoomScaleSheetLayoutView="100" workbookViewId="0">
      <pane xSplit="4" ySplit="2" topLeftCell="AE153" activePane="bottomRight" state="frozen"/>
      <selection pane="topRight" activeCell="E1" sqref="E1"/>
      <selection pane="bottomLeft" activeCell="A3" sqref="A3"/>
      <selection pane="bottomRight" activeCell="AF167" sqref="AF167"/>
    </sheetView>
  </sheetViews>
  <sheetFormatPr defaultRowHeight="18.75"/>
  <cols>
    <col min="1" max="3" width="1.7109375" style="5" customWidth="1"/>
    <col min="4" max="4" width="47.5703125" style="5" customWidth="1"/>
    <col min="5" max="5" width="11.85546875" style="6" customWidth="1"/>
    <col min="6" max="6" width="12.7109375" style="6" customWidth="1"/>
    <col min="7" max="9" width="12.28515625" style="6" customWidth="1"/>
    <col min="10" max="10" width="11" style="6" customWidth="1"/>
    <col min="11" max="11" width="12.7109375" style="6" customWidth="1"/>
    <col min="12" max="12" width="12.85546875" style="6" customWidth="1"/>
    <col min="13" max="16" width="14.5703125" style="6" customWidth="1"/>
    <col min="17" max="17" width="13.5703125" style="6" customWidth="1"/>
    <col min="18" max="18" width="13.7109375" style="6" customWidth="1"/>
    <col min="19" max="19" width="13.42578125" style="6" customWidth="1"/>
    <col min="20" max="20" width="13.5703125" style="6" customWidth="1"/>
    <col min="21" max="21" width="13.7109375" style="6" customWidth="1"/>
    <col min="22" max="22" width="14" style="6" customWidth="1"/>
    <col min="23" max="23" width="13" style="6" customWidth="1"/>
    <col min="24" max="24" width="13.28515625" style="6" customWidth="1"/>
    <col min="25" max="25" width="14.5703125" style="6" customWidth="1"/>
    <col min="26" max="27" width="14.42578125" style="6" customWidth="1"/>
    <col min="28" max="28" width="15.42578125" style="6" customWidth="1"/>
    <col min="29" max="29" width="14.7109375" style="6" customWidth="1"/>
    <col min="30" max="30" width="14.42578125" style="6" customWidth="1"/>
    <col min="31" max="31" width="13.7109375" style="6" customWidth="1"/>
    <col min="32" max="32" width="13.7109375" style="178" customWidth="1"/>
    <col min="33" max="36" width="13.7109375" style="6" customWidth="1"/>
    <col min="37" max="37" width="14" style="6" customWidth="1"/>
    <col min="38" max="38" width="13.42578125" style="6" customWidth="1"/>
    <col min="39" max="39" width="13.28515625" style="6" customWidth="1"/>
    <col min="40" max="40" width="12.7109375" style="6" customWidth="1"/>
    <col min="41" max="41" width="14.5703125" style="6" customWidth="1"/>
    <col min="42" max="42" width="13.85546875" style="6" customWidth="1"/>
    <col min="43" max="43" width="14.28515625" style="6" customWidth="1"/>
    <col min="44" max="44" width="13.5703125" style="6" customWidth="1"/>
    <col min="45" max="45" width="13" style="6" customWidth="1"/>
    <col min="46" max="46" width="12.85546875" style="6" customWidth="1"/>
    <col min="47" max="47" width="12.140625" style="6" customWidth="1"/>
    <col min="48" max="48" width="12.28515625" style="6" customWidth="1"/>
    <col min="49" max="49" width="12.5703125" style="6" customWidth="1"/>
    <col min="50" max="50" width="12.7109375" style="6" customWidth="1"/>
    <col min="51" max="51" width="13.5703125" style="6" customWidth="1"/>
    <col min="52" max="52" width="12.85546875" style="6" customWidth="1"/>
    <col min="53" max="53" width="12.28515625" style="6" customWidth="1"/>
    <col min="54" max="54" width="12.42578125" style="6" customWidth="1"/>
    <col min="55" max="56" width="14.140625" style="6" customWidth="1"/>
    <col min="57" max="57" width="14.5703125" style="6" customWidth="1"/>
    <col min="58" max="58" width="14" style="6" customWidth="1"/>
    <col min="59" max="59" width="13.42578125" style="6" customWidth="1"/>
    <col min="60" max="60" width="12.28515625" style="6" customWidth="1"/>
    <col min="61" max="61" width="13" style="6" customWidth="1"/>
    <col min="62" max="62" width="12.7109375" style="6" customWidth="1"/>
    <col min="63" max="63" width="13.7109375" style="6" customWidth="1"/>
    <col min="64" max="64" width="13.5703125" style="6" customWidth="1"/>
    <col min="65" max="65" width="13.7109375" style="6" customWidth="1"/>
    <col min="66" max="66" width="13.5703125" style="6" customWidth="1"/>
    <col min="67" max="67" width="13" style="6" customWidth="1"/>
    <col min="68" max="68" width="12.7109375" style="6" customWidth="1"/>
    <col min="69" max="69" width="13.5703125" style="6" customWidth="1"/>
    <col min="70" max="70" width="13.28515625" style="6" customWidth="1"/>
    <col min="71" max="72" width="13.42578125" style="6" customWidth="1"/>
    <col min="73" max="73" width="12.85546875" style="6" customWidth="1"/>
    <col min="74" max="74" width="12.7109375" style="6" customWidth="1"/>
    <col min="75" max="75" width="12" style="6" customWidth="1"/>
    <col min="76" max="76" width="12.28515625" style="6" customWidth="1"/>
    <col min="77" max="78" width="13.42578125" style="6" customWidth="1"/>
    <col min="79" max="80" width="12.7109375" style="6" customWidth="1"/>
    <col min="81" max="82" width="13" style="6" customWidth="1"/>
    <col min="83" max="83" width="9.5703125" style="6" customWidth="1"/>
    <col min="84" max="84" width="12.28515625" style="6" bestFit="1" customWidth="1"/>
    <col min="85" max="85" width="11.7109375" style="5" bestFit="1" customWidth="1"/>
    <col min="86" max="16384" width="9.140625" style="5"/>
  </cols>
  <sheetData>
    <row r="1" spans="1:84" s="106" customFormat="1">
      <c r="A1" s="385" t="s">
        <v>0</v>
      </c>
      <c r="B1" s="386"/>
      <c r="C1" s="386"/>
      <c r="D1" s="387"/>
      <c r="E1" s="378" t="s">
        <v>333</v>
      </c>
      <c r="F1" s="377"/>
      <c r="G1" s="378" t="s">
        <v>56</v>
      </c>
      <c r="H1" s="377"/>
      <c r="I1" s="376" t="s">
        <v>120</v>
      </c>
      <c r="J1" s="377"/>
      <c r="K1" s="376" t="s">
        <v>334</v>
      </c>
      <c r="L1" s="377"/>
      <c r="M1" s="378" t="s">
        <v>412</v>
      </c>
      <c r="N1" s="377"/>
      <c r="O1" s="376" t="s">
        <v>120</v>
      </c>
      <c r="P1" s="377"/>
      <c r="Q1" s="376" t="s">
        <v>413</v>
      </c>
      <c r="R1" s="377"/>
      <c r="S1" s="378" t="s">
        <v>422</v>
      </c>
      <c r="T1" s="377"/>
      <c r="U1" s="376" t="s">
        <v>120</v>
      </c>
      <c r="V1" s="377"/>
      <c r="W1" s="376" t="s">
        <v>423</v>
      </c>
      <c r="X1" s="377"/>
      <c r="Y1" s="378" t="s">
        <v>430</v>
      </c>
      <c r="Z1" s="377"/>
      <c r="AA1" s="376" t="s">
        <v>120</v>
      </c>
      <c r="AB1" s="377"/>
      <c r="AC1" s="378" t="s">
        <v>431</v>
      </c>
      <c r="AD1" s="377"/>
      <c r="AE1" s="378" t="s">
        <v>432</v>
      </c>
      <c r="AF1" s="377"/>
      <c r="AG1" s="376" t="s">
        <v>120</v>
      </c>
      <c r="AH1" s="377"/>
      <c r="AI1" s="376" t="s">
        <v>433</v>
      </c>
      <c r="AJ1" s="377"/>
      <c r="AK1" s="378" t="s">
        <v>434</v>
      </c>
      <c r="AL1" s="377"/>
      <c r="AM1" s="379" t="s">
        <v>120</v>
      </c>
      <c r="AN1" s="380"/>
      <c r="AO1" s="376" t="s">
        <v>435</v>
      </c>
      <c r="AP1" s="377"/>
      <c r="AQ1" s="378" t="s">
        <v>436</v>
      </c>
      <c r="AR1" s="377"/>
      <c r="AS1" s="376" t="s">
        <v>120</v>
      </c>
      <c r="AT1" s="377"/>
      <c r="AU1" s="376" t="s">
        <v>437</v>
      </c>
      <c r="AV1" s="377"/>
      <c r="AW1" s="378" t="s">
        <v>438</v>
      </c>
      <c r="AX1" s="377"/>
      <c r="AY1" s="376" t="s">
        <v>120</v>
      </c>
      <c r="AZ1" s="377"/>
      <c r="BA1" s="376" t="s">
        <v>439</v>
      </c>
      <c r="BB1" s="377"/>
      <c r="BC1" s="378" t="s">
        <v>440</v>
      </c>
      <c r="BD1" s="377"/>
      <c r="BE1" s="376" t="s">
        <v>120</v>
      </c>
      <c r="BF1" s="377"/>
      <c r="BG1" s="376" t="s">
        <v>441</v>
      </c>
      <c r="BH1" s="377"/>
      <c r="BI1" s="378" t="s">
        <v>442</v>
      </c>
      <c r="BJ1" s="377"/>
      <c r="BK1" s="376" t="s">
        <v>120</v>
      </c>
      <c r="BL1" s="377"/>
      <c r="BM1" s="376" t="s">
        <v>443</v>
      </c>
      <c r="BN1" s="377"/>
      <c r="BO1" s="378" t="s">
        <v>447</v>
      </c>
      <c r="BP1" s="377"/>
      <c r="BQ1" s="376" t="s">
        <v>120</v>
      </c>
      <c r="BR1" s="377"/>
      <c r="BS1" s="376" t="s">
        <v>446</v>
      </c>
      <c r="BT1" s="377"/>
      <c r="BU1" s="378" t="s">
        <v>444</v>
      </c>
      <c r="BV1" s="377"/>
      <c r="BW1" s="376" t="s">
        <v>120</v>
      </c>
      <c r="BX1" s="377"/>
      <c r="BY1" s="376" t="s">
        <v>445</v>
      </c>
      <c r="BZ1" s="377"/>
      <c r="CA1" s="379" t="s">
        <v>220</v>
      </c>
      <c r="CB1" s="380"/>
      <c r="CC1" s="376" t="s">
        <v>448</v>
      </c>
      <c r="CD1" s="377"/>
      <c r="CE1" s="119"/>
      <c r="CF1" s="119"/>
    </row>
    <row r="2" spans="1:84" s="106" customFormat="1">
      <c r="A2" s="385"/>
      <c r="B2" s="386"/>
      <c r="C2" s="386"/>
      <c r="D2" s="387"/>
      <c r="E2" s="120" t="s">
        <v>57</v>
      </c>
      <c r="F2" s="120" t="s">
        <v>58</v>
      </c>
      <c r="G2" s="120" t="s">
        <v>57</v>
      </c>
      <c r="H2" s="120" t="s">
        <v>58</v>
      </c>
      <c r="I2" s="120" t="s">
        <v>57</v>
      </c>
      <c r="J2" s="120" t="s">
        <v>58</v>
      </c>
      <c r="K2" s="120" t="s">
        <v>57</v>
      </c>
      <c r="L2" s="120" t="s">
        <v>58</v>
      </c>
      <c r="M2" s="120" t="s">
        <v>57</v>
      </c>
      <c r="N2" s="120" t="s">
        <v>58</v>
      </c>
      <c r="O2" s="120" t="s">
        <v>57</v>
      </c>
      <c r="P2" s="120" t="s">
        <v>58</v>
      </c>
      <c r="Q2" s="120" t="s">
        <v>57</v>
      </c>
      <c r="R2" s="120" t="s">
        <v>58</v>
      </c>
      <c r="S2" s="120" t="s">
        <v>57</v>
      </c>
      <c r="T2" s="120" t="s">
        <v>58</v>
      </c>
      <c r="U2" s="120" t="s">
        <v>57</v>
      </c>
      <c r="V2" s="120" t="s">
        <v>58</v>
      </c>
      <c r="W2" s="120" t="s">
        <v>57</v>
      </c>
      <c r="X2" s="120" t="s">
        <v>58</v>
      </c>
      <c r="Y2" s="120" t="s">
        <v>57</v>
      </c>
      <c r="Z2" s="120" t="s">
        <v>58</v>
      </c>
      <c r="AA2" s="120" t="s">
        <v>57</v>
      </c>
      <c r="AB2" s="120" t="s">
        <v>58</v>
      </c>
      <c r="AC2" s="120" t="s">
        <v>57</v>
      </c>
      <c r="AD2" s="120" t="s">
        <v>58</v>
      </c>
      <c r="AE2" s="120" t="s">
        <v>57</v>
      </c>
      <c r="AF2" s="120" t="s">
        <v>58</v>
      </c>
      <c r="AG2" s="120" t="s">
        <v>57</v>
      </c>
      <c r="AH2" s="120" t="s">
        <v>58</v>
      </c>
      <c r="AI2" s="120" t="s">
        <v>57</v>
      </c>
      <c r="AJ2" s="120" t="s">
        <v>58</v>
      </c>
      <c r="AK2" s="120" t="s">
        <v>57</v>
      </c>
      <c r="AL2" s="120" t="s">
        <v>58</v>
      </c>
      <c r="AM2" s="121" t="s">
        <v>57</v>
      </c>
      <c r="AN2" s="121" t="s">
        <v>58</v>
      </c>
      <c r="AO2" s="120" t="s">
        <v>57</v>
      </c>
      <c r="AP2" s="120" t="s">
        <v>58</v>
      </c>
      <c r="AQ2" s="120" t="s">
        <v>57</v>
      </c>
      <c r="AR2" s="120" t="s">
        <v>58</v>
      </c>
      <c r="AS2" s="120" t="s">
        <v>57</v>
      </c>
      <c r="AT2" s="120" t="s">
        <v>58</v>
      </c>
      <c r="AU2" s="120" t="s">
        <v>57</v>
      </c>
      <c r="AV2" s="120" t="s">
        <v>58</v>
      </c>
      <c r="AW2" s="120" t="s">
        <v>57</v>
      </c>
      <c r="AX2" s="120" t="s">
        <v>58</v>
      </c>
      <c r="AY2" s="120" t="s">
        <v>57</v>
      </c>
      <c r="AZ2" s="120" t="s">
        <v>58</v>
      </c>
      <c r="BA2" s="120" t="s">
        <v>57</v>
      </c>
      <c r="BB2" s="120" t="s">
        <v>58</v>
      </c>
      <c r="BC2" s="120" t="s">
        <v>57</v>
      </c>
      <c r="BD2" s="120" t="s">
        <v>58</v>
      </c>
      <c r="BE2" s="120" t="s">
        <v>57</v>
      </c>
      <c r="BF2" s="120" t="s">
        <v>58</v>
      </c>
      <c r="BG2" s="120" t="s">
        <v>57</v>
      </c>
      <c r="BH2" s="120" t="s">
        <v>58</v>
      </c>
      <c r="BI2" s="120" t="s">
        <v>57</v>
      </c>
      <c r="BJ2" s="120" t="s">
        <v>58</v>
      </c>
      <c r="BK2" s="120" t="s">
        <v>57</v>
      </c>
      <c r="BL2" s="120" t="s">
        <v>58</v>
      </c>
      <c r="BM2" s="120" t="s">
        <v>57</v>
      </c>
      <c r="BN2" s="120" t="s">
        <v>58</v>
      </c>
      <c r="BO2" s="120" t="s">
        <v>57</v>
      </c>
      <c r="BP2" s="120" t="s">
        <v>58</v>
      </c>
      <c r="BQ2" s="120" t="s">
        <v>57</v>
      </c>
      <c r="BR2" s="120" t="s">
        <v>58</v>
      </c>
      <c r="BS2" s="120" t="s">
        <v>57</v>
      </c>
      <c r="BT2" s="120" t="s">
        <v>58</v>
      </c>
      <c r="BU2" s="120" t="s">
        <v>57</v>
      </c>
      <c r="BV2" s="120" t="s">
        <v>58</v>
      </c>
      <c r="BW2" s="120" t="s">
        <v>57</v>
      </c>
      <c r="BX2" s="120" t="s">
        <v>58</v>
      </c>
      <c r="BY2" s="120" t="s">
        <v>57</v>
      </c>
      <c r="BZ2" s="120" t="s">
        <v>58</v>
      </c>
      <c r="CA2" s="121" t="s">
        <v>57</v>
      </c>
      <c r="CB2" s="121" t="s">
        <v>58</v>
      </c>
      <c r="CC2" s="120" t="s">
        <v>57</v>
      </c>
      <c r="CD2" s="120" t="s">
        <v>58</v>
      </c>
      <c r="CE2" s="119"/>
      <c r="CF2" s="119"/>
    </row>
    <row r="3" spans="1:84" s="23" customFormat="1">
      <c r="A3" s="381" t="s">
        <v>97</v>
      </c>
      <c r="B3" s="382"/>
      <c r="C3" s="382"/>
      <c r="D3" s="38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176"/>
      <c r="AG3" s="22"/>
      <c r="AH3" s="22"/>
      <c r="AI3" s="22"/>
      <c r="AJ3" s="22"/>
      <c r="AK3" s="22"/>
      <c r="AL3" s="22"/>
      <c r="AM3" s="103"/>
      <c r="AN3" s="103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103"/>
      <c r="CB3" s="103"/>
      <c r="CC3" s="22"/>
      <c r="CD3" s="22"/>
      <c r="CE3" s="89"/>
      <c r="CF3" s="89"/>
    </row>
    <row r="4" spans="1:84">
      <c r="A4" s="12" t="s">
        <v>59</v>
      </c>
      <c r="B4" s="24"/>
      <c r="C4" s="24"/>
      <c r="D4" s="24"/>
      <c r="E4" s="11">
        <v>0</v>
      </c>
      <c r="F4" s="11">
        <v>0</v>
      </c>
      <c r="G4" s="11">
        <v>0</v>
      </c>
      <c r="H4" s="11"/>
      <c r="I4" s="11"/>
      <c r="J4" s="11"/>
      <c r="K4" s="11"/>
      <c r="L4" s="11"/>
      <c r="M4" s="11"/>
      <c r="N4" s="11"/>
      <c r="O4" s="11"/>
      <c r="P4" s="11"/>
      <c r="Q4" s="11">
        <f>SUM(K4+M4-N4+O4-P4)</f>
        <v>0</v>
      </c>
      <c r="R4" s="11"/>
      <c r="S4" s="11"/>
      <c r="T4" s="11"/>
      <c r="U4" s="11"/>
      <c r="V4" s="11"/>
      <c r="W4" s="11">
        <f>SUM(Q4+S4-T4+U4-V4)</f>
        <v>0</v>
      </c>
      <c r="X4" s="11"/>
      <c r="Y4" s="11">
        <v>65.95</v>
      </c>
      <c r="Z4" s="11"/>
      <c r="AA4" s="11"/>
      <c r="AB4" s="11"/>
      <c r="AC4" s="11">
        <f>SUM(W4+Y4-Z4+AA4-AB4)</f>
        <v>65.95</v>
      </c>
      <c r="AD4" s="11"/>
      <c r="AE4" s="11">
        <v>5432</v>
      </c>
      <c r="AF4" s="11">
        <v>65.95</v>
      </c>
      <c r="AG4" s="11"/>
      <c r="AH4" s="11"/>
      <c r="AI4" s="11">
        <f>SUM(AC4+AE4-AF4+AG4-AH4)</f>
        <v>5432</v>
      </c>
      <c r="AJ4" s="11"/>
      <c r="AK4" s="11"/>
      <c r="AL4" s="11"/>
      <c r="AM4" s="11"/>
      <c r="AN4" s="11"/>
      <c r="AO4" s="11">
        <f>SUM(AI4+AK4-AL4+AM4-AN4)</f>
        <v>5432</v>
      </c>
      <c r="AP4" s="11"/>
      <c r="AQ4" s="11"/>
      <c r="AR4" s="11"/>
      <c r="AS4" s="11"/>
      <c r="AT4" s="11"/>
      <c r="AU4" s="11">
        <f>SUM(AO4+AQ4-AR4+AS4-AT4)</f>
        <v>5432</v>
      </c>
      <c r="AV4" s="11"/>
      <c r="AW4" s="11"/>
      <c r="AX4" s="11"/>
      <c r="AY4" s="11"/>
      <c r="AZ4" s="11"/>
      <c r="BA4" s="11">
        <f>SUM(AU4+AW4-AX4+AY4-AZ4)</f>
        <v>5432</v>
      </c>
      <c r="BB4" s="11"/>
      <c r="BC4" s="11"/>
      <c r="BD4" s="11"/>
      <c r="BE4" s="11"/>
      <c r="BF4" s="11"/>
      <c r="BG4" s="11">
        <f>SUM(BA4+BC4-BD4+BE4-BF4)</f>
        <v>5432</v>
      </c>
      <c r="BH4" s="11"/>
      <c r="BI4" s="11"/>
      <c r="BJ4" s="11"/>
      <c r="BK4" s="11"/>
      <c r="BL4" s="11"/>
      <c r="BM4" s="11">
        <f>SUM(BG4+BI4-BJ4+BK4-BL4)</f>
        <v>5432</v>
      </c>
      <c r="BN4" s="11"/>
      <c r="BO4" s="11"/>
      <c r="BP4" s="11"/>
      <c r="BQ4" s="11"/>
      <c r="BR4" s="11"/>
      <c r="BS4" s="11">
        <f>SUM(BM4+BO4-BP4+BQ4-BR4)</f>
        <v>5432</v>
      </c>
      <c r="BT4" s="11"/>
      <c r="BU4" s="11"/>
      <c r="BV4" s="11"/>
      <c r="BW4" s="11"/>
      <c r="BX4" s="11"/>
      <c r="BY4" s="11">
        <f>SUM(BS4+BU4-BV4+BW4-BX4)</f>
        <v>5432</v>
      </c>
      <c r="BZ4" s="11"/>
      <c r="CA4" s="11"/>
      <c r="CB4" s="11"/>
      <c r="CC4" s="11">
        <f>SUM(BW4+BY4-BZ4+CA4-CB4)</f>
        <v>5432</v>
      </c>
      <c r="CD4" s="11"/>
    </row>
    <row r="5" spans="1:84" s="118" customFormat="1">
      <c r="A5" s="114" t="s">
        <v>60</v>
      </c>
      <c r="B5" s="115"/>
      <c r="C5" s="115"/>
      <c r="D5" s="115"/>
      <c r="E5" s="105">
        <f>SUM(E6:E16)</f>
        <v>30620913.340000004</v>
      </c>
      <c r="F5" s="105">
        <f t="shared" ref="F5:BQ5" si="0">SUM(F6:F16)</f>
        <v>0</v>
      </c>
      <c r="G5" s="105">
        <f>SUM(G6:G16)</f>
        <v>1464017.65</v>
      </c>
      <c r="H5" s="105">
        <f>SUM(H6:H16)</f>
        <v>3701715.35</v>
      </c>
      <c r="I5" s="105">
        <f t="shared" si="0"/>
        <v>3701715.35</v>
      </c>
      <c r="J5" s="105">
        <f t="shared" si="0"/>
        <v>3701715.35</v>
      </c>
      <c r="K5" s="105">
        <f>SUM(K6:K16)</f>
        <v>28383215.640000004</v>
      </c>
      <c r="L5" s="105">
        <f t="shared" si="0"/>
        <v>0</v>
      </c>
      <c r="M5" s="105">
        <f t="shared" si="0"/>
        <v>11027957.470000001</v>
      </c>
      <c r="N5" s="105">
        <f t="shared" si="0"/>
        <v>5162235.0500000007</v>
      </c>
      <c r="O5" s="105">
        <f t="shared" si="0"/>
        <v>8162235.0500000007</v>
      </c>
      <c r="P5" s="105">
        <f t="shared" si="0"/>
        <v>8162235.0499999989</v>
      </c>
      <c r="Q5" s="105">
        <f>SUM(Q6:Q16)</f>
        <v>34248938.060000002</v>
      </c>
      <c r="R5" s="105">
        <f t="shared" si="0"/>
        <v>0</v>
      </c>
      <c r="S5" s="105">
        <f t="shared" si="0"/>
        <v>3547310.1</v>
      </c>
      <c r="T5" s="105">
        <f t="shared" si="0"/>
        <v>4930266.6300000008</v>
      </c>
      <c r="U5" s="105">
        <f t="shared" si="0"/>
        <v>12930266.630000001</v>
      </c>
      <c r="V5" s="105">
        <f t="shared" si="0"/>
        <v>12930266.630000001</v>
      </c>
      <c r="W5" s="105">
        <f>SUM(W6:W16)</f>
        <v>32865981.530000005</v>
      </c>
      <c r="X5" s="105">
        <f t="shared" si="0"/>
        <v>0</v>
      </c>
      <c r="Y5" s="105">
        <f>SUM(Y6:Y16)</f>
        <v>7354403.4800000004</v>
      </c>
      <c r="Z5" s="105">
        <f>SUM(Z6:Z16)</f>
        <v>4346728.4399999995</v>
      </c>
      <c r="AA5" s="105">
        <f t="shared" si="0"/>
        <v>4346728.4399999995</v>
      </c>
      <c r="AB5" s="105">
        <f t="shared" si="0"/>
        <v>4346728.4399999995</v>
      </c>
      <c r="AC5" s="105">
        <f>SUM(AC6:AC16)</f>
        <v>35873656.570000008</v>
      </c>
      <c r="AD5" s="105">
        <f t="shared" si="0"/>
        <v>0</v>
      </c>
      <c r="AE5" s="105">
        <f>SUM(AE6:AE16)</f>
        <v>1952692.0599999998</v>
      </c>
      <c r="AF5" s="105">
        <f>SUM(AF6:AF16)</f>
        <v>4581956.83</v>
      </c>
      <c r="AG5" s="105">
        <f>SUM(AG6:AG16)</f>
        <v>4581956.83</v>
      </c>
      <c r="AH5" s="105">
        <f>SUM(AH6:AH16)</f>
        <v>4581956.83</v>
      </c>
      <c r="AI5" s="105">
        <f>SUM(AI6:AI16)</f>
        <v>33244391.800000008</v>
      </c>
      <c r="AJ5" s="105">
        <f t="shared" si="0"/>
        <v>0</v>
      </c>
      <c r="AK5" s="105">
        <f>SUM(AK6:AK16)</f>
        <v>0</v>
      </c>
      <c r="AL5" s="105">
        <f t="shared" si="0"/>
        <v>0</v>
      </c>
      <c r="AM5" s="116">
        <f t="shared" si="0"/>
        <v>0</v>
      </c>
      <c r="AN5" s="116">
        <f t="shared" si="0"/>
        <v>0</v>
      </c>
      <c r="AO5" s="105">
        <f>SUM(AO6:AO16)</f>
        <v>33244391.800000008</v>
      </c>
      <c r="AP5" s="105">
        <f t="shared" si="0"/>
        <v>0</v>
      </c>
      <c r="AQ5" s="105">
        <f t="shared" si="0"/>
        <v>0</v>
      </c>
      <c r="AR5" s="105">
        <f t="shared" si="0"/>
        <v>0</v>
      </c>
      <c r="AS5" s="105">
        <f t="shared" si="0"/>
        <v>0</v>
      </c>
      <c r="AT5" s="105">
        <f t="shared" si="0"/>
        <v>0</v>
      </c>
      <c r="AU5" s="105">
        <f>SUM(AU6:AU16)</f>
        <v>33244391.800000008</v>
      </c>
      <c r="AV5" s="105">
        <f t="shared" si="0"/>
        <v>0</v>
      </c>
      <c r="AW5" s="105">
        <f>SUM(AW6:AW16)</f>
        <v>0</v>
      </c>
      <c r="AX5" s="105">
        <f>SUM(AX6:AX16)</f>
        <v>0</v>
      </c>
      <c r="AY5" s="105">
        <f t="shared" si="0"/>
        <v>0</v>
      </c>
      <c r="AZ5" s="105">
        <f>SUM(AZ6:AZ16)</f>
        <v>0</v>
      </c>
      <c r="BA5" s="105">
        <f>SUM(BA6:BA16)</f>
        <v>33244391.800000008</v>
      </c>
      <c r="BB5" s="105">
        <f t="shared" si="0"/>
        <v>0</v>
      </c>
      <c r="BC5" s="105">
        <f t="shared" si="0"/>
        <v>0</v>
      </c>
      <c r="BD5" s="105">
        <f t="shared" si="0"/>
        <v>0</v>
      </c>
      <c r="BE5" s="105">
        <f t="shared" si="0"/>
        <v>0</v>
      </c>
      <c r="BF5" s="105">
        <f t="shared" si="0"/>
        <v>0</v>
      </c>
      <c r="BG5" s="105">
        <f>SUM(BG6:BG16)</f>
        <v>33244391.800000008</v>
      </c>
      <c r="BH5" s="105">
        <f t="shared" si="0"/>
        <v>0</v>
      </c>
      <c r="BI5" s="105">
        <f t="shared" si="0"/>
        <v>0</v>
      </c>
      <c r="BJ5" s="105">
        <f t="shared" si="0"/>
        <v>0</v>
      </c>
      <c r="BK5" s="105">
        <f t="shared" si="0"/>
        <v>0</v>
      </c>
      <c r="BL5" s="105">
        <f t="shared" si="0"/>
        <v>0</v>
      </c>
      <c r="BM5" s="105">
        <f>SUM(BM6:BM16)</f>
        <v>33244391.800000008</v>
      </c>
      <c r="BN5" s="105">
        <f t="shared" si="0"/>
        <v>0</v>
      </c>
      <c r="BO5" s="105">
        <f t="shared" si="0"/>
        <v>0</v>
      </c>
      <c r="BP5" s="105">
        <f t="shared" si="0"/>
        <v>0</v>
      </c>
      <c r="BQ5" s="105">
        <f t="shared" si="0"/>
        <v>0</v>
      </c>
      <c r="BR5" s="105">
        <f t="shared" ref="BR5:CB5" si="1">SUM(BR6:BR16)</f>
        <v>0</v>
      </c>
      <c r="BS5" s="105">
        <f t="shared" si="1"/>
        <v>33244391.800000008</v>
      </c>
      <c r="BT5" s="105">
        <f t="shared" si="1"/>
        <v>0</v>
      </c>
      <c r="BU5" s="105">
        <f>SUM(BU6:BU16)</f>
        <v>0</v>
      </c>
      <c r="BV5" s="105">
        <f t="shared" si="1"/>
        <v>0</v>
      </c>
      <c r="BW5" s="105">
        <f>SUM(BW6:BW16)</f>
        <v>0</v>
      </c>
      <c r="BX5" s="105">
        <f>SUM(BX6:BX16)</f>
        <v>0</v>
      </c>
      <c r="BY5" s="105">
        <f>SUM(BY6:BY16)</f>
        <v>33244391.800000008</v>
      </c>
      <c r="BZ5" s="105">
        <f t="shared" si="1"/>
        <v>0</v>
      </c>
      <c r="CA5" s="116">
        <f>SUM(CA6:CA16)</f>
        <v>0</v>
      </c>
      <c r="CB5" s="116">
        <f t="shared" si="1"/>
        <v>0</v>
      </c>
      <c r="CC5" s="105">
        <f>SUM(CC6:CC16)</f>
        <v>33244391.800000008</v>
      </c>
      <c r="CD5" s="105">
        <f>SUM(CD6:CD16)</f>
        <v>0</v>
      </c>
      <c r="CE5" s="117"/>
      <c r="CF5" s="117"/>
    </row>
    <row r="6" spans="1:84">
      <c r="A6" s="12"/>
      <c r="B6" s="24" t="s">
        <v>93</v>
      </c>
      <c r="C6" s="24"/>
      <c r="D6" s="24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68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</row>
    <row r="7" spans="1:84">
      <c r="A7" s="12"/>
      <c r="B7" s="24"/>
      <c r="C7" s="24" t="s">
        <v>61</v>
      </c>
      <c r="D7" s="24"/>
      <c r="E7" s="11">
        <v>0</v>
      </c>
      <c r="F7" s="11"/>
      <c r="G7" s="11"/>
      <c r="H7" s="11">
        <v>1994108.57</v>
      </c>
      <c r="I7" s="11">
        <v>1994108.57</v>
      </c>
      <c r="J7" s="11"/>
      <c r="K7" s="11">
        <f>SUM(E7+G7-H7+I7-J7)</f>
        <v>0</v>
      </c>
      <c r="L7" s="11"/>
      <c r="M7" s="11"/>
      <c r="N7" s="11">
        <v>2098011.41</v>
      </c>
      <c r="O7" s="11">
        <v>2098011.41</v>
      </c>
      <c r="P7" s="11"/>
      <c r="Q7" s="11">
        <f>SUM(K7+M7-N7+O7-P7)</f>
        <v>0</v>
      </c>
      <c r="R7" s="11"/>
      <c r="S7" s="11"/>
      <c r="T7" s="11">
        <v>2240559.16</v>
      </c>
      <c r="U7" s="11">
        <v>2240559.16</v>
      </c>
      <c r="V7" s="11"/>
      <c r="W7" s="11">
        <f>SUM(Q7+S7-T7+U7-V7)</f>
        <v>0</v>
      </c>
      <c r="X7" s="11"/>
      <c r="Y7" s="11"/>
      <c r="Z7" s="11">
        <v>1597443.65</v>
      </c>
      <c r="AA7" s="11">
        <v>1597443.65</v>
      </c>
      <c r="AB7" s="11"/>
      <c r="AC7" s="11">
        <f>SUM(W7+Y7-Z7+AA7-AB7)</f>
        <v>0</v>
      </c>
      <c r="AD7" s="11"/>
      <c r="AE7" s="11"/>
      <c r="AF7" s="11">
        <v>2296794.36</v>
      </c>
      <c r="AG7" s="11">
        <f>+AF7</f>
        <v>2296794.36</v>
      </c>
      <c r="AH7" s="11"/>
      <c r="AI7" s="11">
        <f>SUM(AC7+AE7-AF7+AG7-AH7)</f>
        <v>0</v>
      </c>
      <c r="AJ7" s="11"/>
      <c r="AK7" s="11"/>
      <c r="AL7" s="11"/>
      <c r="AM7" s="11">
        <f>+AL7</f>
        <v>0</v>
      </c>
      <c r="AN7" s="11"/>
      <c r="AO7" s="11">
        <f>SUM(AI7+AK7-AL7+AM7-AN7)</f>
        <v>0</v>
      </c>
      <c r="AP7" s="11"/>
      <c r="AQ7" s="11"/>
      <c r="AR7" s="11"/>
      <c r="AS7" s="11"/>
      <c r="AT7" s="11"/>
      <c r="AU7" s="11">
        <f>SUM(AO7+AQ7-AR7+AS7-AT7)</f>
        <v>0</v>
      </c>
      <c r="AV7" s="11"/>
      <c r="AW7" s="11"/>
      <c r="AX7" s="11"/>
      <c r="AY7" s="11"/>
      <c r="AZ7" s="11"/>
      <c r="BA7" s="11">
        <f>SUM(AU7+AW7-AX7+AY7-AZ7)</f>
        <v>0</v>
      </c>
      <c r="BB7" s="11"/>
      <c r="BC7" s="11"/>
      <c r="BD7" s="11"/>
      <c r="BE7" s="11"/>
      <c r="BF7" s="11"/>
      <c r="BG7" s="11">
        <f>SUM(BA7+BC7-BD7+BE7-BF7)</f>
        <v>0</v>
      </c>
      <c r="BH7" s="11"/>
      <c r="BI7" s="11"/>
      <c r="BJ7" s="11"/>
      <c r="BK7" s="11"/>
      <c r="BL7" s="11"/>
      <c r="BM7" s="11">
        <f>SUM(BG7+BI7-BJ7+BK7-BL7)</f>
        <v>0</v>
      </c>
      <c r="BN7" s="11"/>
      <c r="BO7" s="11"/>
      <c r="BP7" s="11"/>
      <c r="BQ7" s="11"/>
      <c r="BR7" s="11"/>
      <c r="BS7" s="11">
        <f>SUM(BM7+BO7-BP7+BQ7-BR7)</f>
        <v>0</v>
      </c>
      <c r="BT7" s="11"/>
      <c r="BU7" s="11"/>
      <c r="BV7" s="11"/>
      <c r="BW7" s="11"/>
      <c r="BX7" s="11"/>
      <c r="BY7" s="11">
        <f>SUM(BS7+BU7-BV7+BW7-BX7)</f>
        <v>0</v>
      </c>
      <c r="BZ7" s="11"/>
      <c r="CA7" s="11"/>
      <c r="CB7" s="11"/>
      <c r="CC7" s="11">
        <f>+BY7+CA7-BZ7-CB7</f>
        <v>0</v>
      </c>
      <c r="CD7" s="11"/>
    </row>
    <row r="8" spans="1:84">
      <c r="A8" s="12"/>
      <c r="B8" s="24" t="s">
        <v>94</v>
      </c>
      <c r="C8" s="24"/>
      <c r="D8" s="24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68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</row>
    <row r="9" spans="1:84">
      <c r="A9" s="12"/>
      <c r="B9" s="24"/>
      <c r="C9" s="24" t="s">
        <v>62</v>
      </c>
      <c r="D9" s="24"/>
      <c r="E9" s="11">
        <v>0</v>
      </c>
      <c r="F9" s="11"/>
      <c r="G9" s="11"/>
      <c r="H9" s="11">
        <v>1707606.78</v>
      </c>
      <c r="I9" s="11">
        <v>1707606.78</v>
      </c>
      <c r="J9" s="11"/>
      <c r="K9" s="11">
        <f>SUM(E9+G9-H9+I9-J9)</f>
        <v>0</v>
      </c>
      <c r="L9" s="11"/>
      <c r="M9" s="11"/>
      <c r="N9" s="11">
        <v>3064223.64</v>
      </c>
      <c r="O9" s="11">
        <v>3064223.64</v>
      </c>
      <c r="P9" s="11"/>
      <c r="Q9" s="11">
        <f>SUM(K9+M9-N9+O9-P9)</f>
        <v>0</v>
      </c>
      <c r="R9" s="11"/>
      <c r="S9" s="11"/>
      <c r="T9" s="11">
        <v>2689707.47</v>
      </c>
      <c r="U9" s="11">
        <v>2689707.47</v>
      </c>
      <c r="V9" s="11"/>
      <c r="W9" s="11">
        <f>SUM(Q9+S9-T9+U9-V9)</f>
        <v>0</v>
      </c>
      <c r="X9" s="11"/>
      <c r="Y9" s="11"/>
      <c r="Z9" s="11">
        <v>2749284.79</v>
      </c>
      <c r="AA9" s="11">
        <f>+Z9</f>
        <v>2749284.79</v>
      </c>
      <c r="AB9" s="11"/>
      <c r="AC9" s="11">
        <f>SUM(W9+Y9-Z9+AA9-AB9)</f>
        <v>0</v>
      </c>
      <c r="AD9" s="11"/>
      <c r="AE9" s="11"/>
      <c r="AF9" s="11">
        <v>2285162.4700000002</v>
      </c>
      <c r="AG9" s="11">
        <f>+AF9</f>
        <v>2285162.4700000002</v>
      </c>
      <c r="AH9" s="11"/>
      <c r="AI9" s="11">
        <f>SUM(AC9+AE9-AF9+AG9-AH9)</f>
        <v>0</v>
      </c>
      <c r="AJ9" s="11"/>
      <c r="AK9" s="11"/>
      <c r="AL9" s="11"/>
      <c r="AM9" s="11"/>
      <c r="AN9" s="11"/>
      <c r="AO9" s="11">
        <f>SUM(AI9+AK9-AL9+AM9-AN9)</f>
        <v>0</v>
      </c>
      <c r="AP9" s="11"/>
      <c r="AQ9" s="11"/>
      <c r="AR9" s="11"/>
      <c r="AS9" s="11"/>
      <c r="AT9" s="11"/>
      <c r="AU9" s="11">
        <f>SUM(AO9+AQ9-AR9+AS9-AT9)</f>
        <v>0</v>
      </c>
      <c r="AV9" s="11"/>
      <c r="AW9" s="11"/>
      <c r="AX9" s="11"/>
      <c r="AY9" s="11"/>
      <c r="AZ9" s="11"/>
      <c r="BA9" s="11">
        <f>SUM(AU9+AW9-AX9+AY9-AZ9)</f>
        <v>0</v>
      </c>
      <c r="BB9" s="11"/>
      <c r="BC9" s="11"/>
      <c r="BD9" s="11"/>
      <c r="BE9" s="11"/>
      <c r="BF9" s="11"/>
      <c r="BG9" s="11">
        <f>SUM(BA9+BC9-BD9+BE9-BF9)</f>
        <v>0</v>
      </c>
      <c r="BH9" s="11"/>
      <c r="BI9" s="11"/>
      <c r="BJ9" s="11"/>
      <c r="BK9" s="11"/>
      <c r="BL9" s="11"/>
      <c r="BM9" s="11">
        <f>SUM(BG9+BI9-BJ9+BK9-BL9)</f>
        <v>0</v>
      </c>
      <c r="BN9" s="11"/>
      <c r="BO9" s="11"/>
      <c r="BP9" s="11"/>
      <c r="BQ9" s="11"/>
      <c r="BR9" s="11"/>
      <c r="BS9" s="11">
        <f>SUM(BM9+BO9-BP9+BQ9-BR9)</f>
        <v>0</v>
      </c>
      <c r="BT9" s="11"/>
      <c r="BU9" s="11"/>
      <c r="BV9" s="11"/>
      <c r="BW9" s="11"/>
      <c r="BX9" s="11"/>
      <c r="BY9" s="11">
        <f>SUM(BS9+BU9-BV9+BW9-BX9)</f>
        <v>0</v>
      </c>
      <c r="BZ9" s="11"/>
      <c r="CA9" s="11"/>
      <c r="CB9" s="11"/>
      <c r="CC9" s="11">
        <f>+BY9+CA9-BZ9-CB9</f>
        <v>0</v>
      </c>
      <c r="CD9" s="11"/>
    </row>
    <row r="10" spans="1:84">
      <c r="A10" s="12"/>
      <c r="B10" s="24" t="s">
        <v>95</v>
      </c>
      <c r="C10" s="24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68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88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</row>
    <row r="11" spans="1:84" s="23" customFormat="1">
      <c r="A11" s="85"/>
      <c r="B11" s="86"/>
      <c r="C11" s="86" t="s">
        <v>63</v>
      </c>
      <c r="D11" s="86"/>
      <c r="E11" s="87">
        <v>22662399.420000002</v>
      </c>
      <c r="F11" s="87"/>
      <c r="G11" s="87">
        <v>1324384.94</v>
      </c>
      <c r="H11" s="87"/>
      <c r="I11" s="87"/>
      <c r="J11" s="87">
        <f>+I7</f>
        <v>1994108.57</v>
      </c>
      <c r="K11" s="11">
        <f>+E11+G11-H11+I11-J11</f>
        <v>21992675.790000003</v>
      </c>
      <c r="L11" s="87">
        <f>+K11-21992675.79</f>
        <v>0</v>
      </c>
      <c r="M11" s="87">
        <v>10949308.07</v>
      </c>
      <c r="N11" s="87"/>
      <c r="O11" s="87"/>
      <c r="P11" s="87">
        <f>2207683.77+3000000</f>
        <v>5207683.7699999996</v>
      </c>
      <c r="Q11" s="87">
        <f>SUM(K11+M11-N11+O11-P11)</f>
        <v>27734300.090000004</v>
      </c>
      <c r="R11" s="87"/>
      <c r="S11" s="87">
        <v>3451700.75</v>
      </c>
      <c r="T11" s="87"/>
      <c r="U11" s="87"/>
      <c r="V11" s="87">
        <f>2240559.16+8000000</f>
        <v>10240559.16</v>
      </c>
      <c r="W11" s="87">
        <f>SUM(Q11+S11-T11+U11-V11)</f>
        <v>20945441.680000003</v>
      </c>
      <c r="X11" s="87"/>
      <c r="Y11" s="87">
        <v>7181020.3700000001</v>
      </c>
      <c r="Z11" s="87"/>
      <c r="AA11" s="87"/>
      <c r="AB11" s="87">
        <v>1597443.65</v>
      </c>
      <c r="AC11" s="87">
        <f>SUM(W11+Y11-Z11+AA11-AB11)</f>
        <v>26529018.400000006</v>
      </c>
      <c r="AD11" s="87"/>
      <c r="AE11" s="87">
        <v>1750320.16</v>
      </c>
      <c r="AF11" s="104"/>
      <c r="AG11" s="87"/>
      <c r="AH11" s="87">
        <v>2296794.36</v>
      </c>
      <c r="AI11" s="87">
        <f>SUM(AC11+AE11-AF11+AG11-AH11)</f>
        <v>25982544.200000007</v>
      </c>
      <c r="AJ11" s="87"/>
      <c r="AK11" s="87"/>
      <c r="AL11" s="87"/>
      <c r="AM11" s="87"/>
      <c r="AN11" s="87"/>
      <c r="AO11" s="87">
        <f>SUM(AI11+AK11-AL11+AM11-AN11)</f>
        <v>25982544.200000007</v>
      </c>
      <c r="AP11" s="87"/>
      <c r="AQ11" s="87"/>
      <c r="AR11" s="87"/>
      <c r="AS11" s="87"/>
      <c r="AT11" s="87"/>
      <c r="AU11" s="87">
        <f>SUM(AO11+AQ11-AR11+AS11-AT11)</f>
        <v>25982544.200000007</v>
      </c>
      <c r="AV11" s="87"/>
      <c r="AW11" s="244"/>
      <c r="AX11" s="87"/>
      <c r="AY11" s="87"/>
      <c r="AZ11" s="87"/>
      <c r="BA11" s="87">
        <f>SUM(AU11+AW11-AX11+AY11-AZ11)</f>
        <v>25982544.200000007</v>
      </c>
      <c r="BB11" s="87"/>
      <c r="BC11" s="87"/>
      <c r="BD11" s="87"/>
      <c r="BE11" s="87"/>
      <c r="BF11" s="87"/>
      <c r="BG11" s="87">
        <f>SUM(BA11+BC11-BD11+BE11-BF11)</f>
        <v>25982544.200000007</v>
      </c>
      <c r="BH11" s="87"/>
      <c r="BI11" s="87"/>
      <c r="BJ11" s="87"/>
      <c r="BK11" s="87"/>
      <c r="BL11" s="87"/>
      <c r="BM11" s="87">
        <f>SUM(BG11+BI11-BJ11+BK11-BL11)</f>
        <v>25982544.200000007</v>
      </c>
      <c r="BN11" s="87"/>
      <c r="BO11" s="87"/>
      <c r="BP11" s="87"/>
      <c r="BQ11" s="87"/>
      <c r="BR11" s="87"/>
      <c r="BS11" s="11">
        <f t="shared" ref="BS11" si="2">SUM(BM11+BO11-BP11+BQ11-BR11)</f>
        <v>25982544.200000007</v>
      </c>
      <c r="BT11" s="87"/>
      <c r="BU11" s="87"/>
      <c r="BV11" s="87"/>
      <c r="BW11" s="87"/>
      <c r="BX11" s="87"/>
      <c r="BY11" s="87">
        <f>SUM(BS11+BU11-BV11+BW11-BX11)</f>
        <v>25982544.200000007</v>
      </c>
      <c r="BZ11" s="87"/>
      <c r="CA11" s="87"/>
      <c r="CB11" s="87"/>
      <c r="CC11" s="87">
        <f>+BY11+CA11-BZ11-CB11</f>
        <v>25982544.200000007</v>
      </c>
      <c r="CD11" s="87"/>
      <c r="CE11" s="89">
        <v>24774498.390000001</v>
      </c>
      <c r="CF11" s="89">
        <f>+CE11-BS11</f>
        <v>-1208045.8100000061</v>
      </c>
    </row>
    <row r="12" spans="1:84" s="23" customFormat="1">
      <c r="A12" s="85"/>
      <c r="B12" s="86" t="s">
        <v>96</v>
      </c>
      <c r="C12" s="86"/>
      <c r="D12" s="86"/>
      <c r="E12" s="87"/>
      <c r="F12" s="87"/>
      <c r="G12" s="87"/>
      <c r="H12" s="87"/>
      <c r="I12" s="87"/>
      <c r="J12" s="87"/>
      <c r="K12" s="11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104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9"/>
      <c r="CF12" s="89"/>
    </row>
    <row r="13" spans="1:84" s="23" customFormat="1">
      <c r="A13" s="85"/>
      <c r="B13" s="86"/>
      <c r="C13" s="86" t="s">
        <v>64</v>
      </c>
      <c r="D13" s="86"/>
      <c r="E13" s="87">
        <v>7919306.9400000004</v>
      </c>
      <c r="F13" s="87"/>
      <c r="G13" s="87">
        <f>139632.71-7549.96</f>
        <v>132082.75</v>
      </c>
      <c r="H13" s="87"/>
      <c r="I13" s="87"/>
      <c r="J13" s="87">
        <f>+I9</f>
        <v>1707606.78</v>
      </c>
      <c r="K13" s="11">
        <f>SUM(E13+G13-H13+I13-J13)</f>
        <v>6343782.9100000001</v>
      </c>
      <c r="L13" s="87">
        <f>+K13-6343782.91</f>
        <v>0</v>
      </c>
      <c r="M13" s="87">
        <v>78649.399999999994</v>
      </c>
      <c r="N13" s="87"/>
      <c r="O13" s="87">
        <v>3000000</v>
      </c>
      <c r="P13" s="87">
        <v>2954551.28</v>
      </c>
      <c r="Q13" s="87">
        <f>SUM(K13+M13-N13+O13-P13)</f>
        <v>6467881.0300000012</v>
      </c>
      <c r="R13" s="87"/>
      <c r="S13" s="87">
        <v>95609.35</v>
      </c>
      <c r="T13" s="87"/>
      <c r="U13" s="87">
        <v>8000000</v>
      </c>
      <c r="V13" s="87">
        <v>2689707.47</v>
      </c>
      <c r="W13" s="87">
        <f>SUM(Q13+S13-T13+U13-V13)</f>
        <v>11873782.91</v>
      </c>
      <c r="X13" s="87"/>
      <c r="Y13" s="87">
        <v>173383.11</v>
      </c>
      <c r="Z13" s="87"/>
      <c r="AA13" s="87"/>
      <c r="AB13" s="87">
        <v>2749284.79</v>
      </c>
      <c r="AC13" s="87">
        <f>SUM(W13+Y13-Z13+AA13-AB13)</f>
        <v>9297881.2300000004</v>
      </c>
      <c r="AD13" s="87"/>
      <c r="AE13" s="87">
        <v>202371.9</v>
      </c>
      <c r="AF13" s="104"/>
      <c r="AG13" s="87"/>
      <c r="AH13" s="87">
        <f>+AG9</f>
        <v>2285162.4700000002</v>
      </c>
      <c r="AI13" s="87">
        <f>SUM(AC13+AE13-AF13+AG13-AH13)</f>
        <v>7215090.6600000001</v>
      </c>
      <c r="AJ13" s="87"/>
      <c r="AK13" s="87"/>
      <c r="AL13" s="87"/>
      <c r="AM13" s="87"/>
      <c r="AN13" s="87"/>
      <c r="AO13" s="87">
        <f>SUM(AI13+AK13-AL13+AM13-AN13)</f>
        <v>7215090.6600000001</v>
      </c>
      <c r="AP13" s="87"/>
      <c r="AQ13" s="87"/>
      <c r="AR13" s="87"/>
      <c r="AS13" s="87"/>
      <c r="AT13" s="87"/>
      <c r="AU13" s="87">
        <f>SUM(AO13+AQ13-AR13+AS13-AT13)</f>
        <v>7215090.6600000001</v>
      </c>
      <c r="AV13" s="87"/>
      <c r="AW13" s="87"/>
      <c r="AX13" s="87"/>
      <c r="AY13" s="87"/>
      <c r="AZ13" s="87"/>
      <c r="BA13" s="87">
        <f>SUM(AU13+AW13-AX13+AY13-AZ13)</f>
        <v>7215090.6600000001</v>
      </c>
      <c r="BB13" s="87"/>
      <c r="BC13" s="87"/>
      <c r="BD13" s="87"/>
      <c r="BE13" s="87"/>
      <c r="BF13" s="87"/>
      <c r="BG13" s="87">
        <f t="shared" ref="BG13:BG24" si="3">SUM(BA13+BC13-BD13+BE13-BF13)</f>
        <v>7215090.6600000001</v>
      </c>
      <c r="BH13" s="87"/>
      <c r="BI13" s="87"/>
      <c r="BJ13" s="87"/>
      <c r="BK13" s="87"/>
      <c r="BL13" s="87"/>
      <c r="BM13" s="87">
        <f>SUM(BG13+BI13-BJ13+BK13-BL13)</f>
        <v>7215090.6600000001</v>
      </c>
      <c r="BN13" s="87"/>
      <c r="BO13" s="87"/>
      <c r="BP13" s="87"/>
      <c r="BQ13" s="87"/>
      <c r="BR13" s="87"/>
      <c r="BS13" s="87">
        <f>SUM(BM13+BO13-BP13+BQ13-BR13)</f>
        <v>7215090.6600000001</v>
      </c>
      <c r="BT13" s="87"/>
      <c r="BU13" s="87"/>
      <c r="BV13" s="87"/>
      <c r="BW13" s="87"/>
      <c r="BX13" s="87"/>
      <c r="BY13" s="87">
        <f>SUM(BS13+BU13-BV13+BW13-BX13)</f>
        <v>7215090.6600000001</v>
      </c>
      <c r="BZ13" s="87"/>
      <c r="CA13" s="87"/>
      <c r="CB13" s="87"/>
      <c r="CC13" s="87">
        <f>+BY13+CA13-BZ13-CB13</f>
        <v>7215090.6600000001</v>
      </c>
      <c r="CD13" s="87"/>
      <c r="CE13" s="89"/>
      <c r="CF13" s="89"/>
    </row>
    <row r="14" spans="1:84">
      <c r="A14" s="12"/>
      <c r="B14" s="24"/>
      <c r="C14" s="24" t="s">
        <v>65</v>
      </c>
      <c r="D14" s="24"/>
      <c r="E14" s="11">
        <v>39206.980000000003</v>
      </c>
      <c r="F14" s="11"/>
      <c r="G14" s="11">
        <v>7549.96</v>
      </c>
      <c r="H14" s="11"/>
      <c r="I14" s="11"/>
      <c r="J14" s="11"/>
      <c r="K14" s="11">
        <f t="shared" ref="K14" si="4">SUM(E14+G14-H14+I14-J14)</f>
        <v>46756.94</v>
      </c>
      <c r="L14" s="11"/>
      <c r="M14" s="11"/>
      <c r="N14" s="11"/>
      <c r="O14" s="11"/>
      <c r="P14" s="11"/>
      <c r="Q14" s="11">
        <f t="shared" ref="Q14:Q24" si="5">SUM(K14+M14-N14+O14-P14)</f>
        <v>46756.94</v>
      </c>
      <c r="R14" s="11"/>
      <c r="S14" s="11"/>
      <c r="T14" s="11"/>
      <c r="U14" s="11"/>
      <c r="V14" s="11"/>
      <c r="W14" s="11">
        <f t="shared" ref="W14:W24" si="6">SUM(Q14+S14-T14+U14-V14)</f>
        <v>46756.94</v>
      </c>
      <c r="X14" s="11"/>
      <c r="Y14" s="11"/>
      <c r="Z14" s="11"/>
      <c r="AA14" s="11"/>
      <c r="AB14" s="11"/>
      <c r="AC14" s="11">
        <f t="shared" ref="AC14:AC16" si="7">SUM(W14+Y14-Z14+AA14-AB14)</f>
        <v>46756.94</v>
      </c>
      <c r="AD14" s="11"/>
      <c r="AE14" s="11"/>
      <c r="AF14" s="168"/>
      <c r="AG14" s="11"/>
      <c r="AH14" s="11"/>
      <c r="AI14" s="11">
        <f t="shared" ref="AI14:AI24" si="8">SUM(AC14+AE14-AF14+AG14-AH14)</f>
        <v>46756.94</v>
      </c>
      <c r="AJ14" s="11"/>
      <c r="AK14" s="11"/>
      <c r="AL14" s="11"/>
      <c r="AM14" s="11"/>
      <c r="AN14" s="11"/>
      <c r="AO14" s="11">
        <f t="shared" ref="AO14:AO24" si="9">SUM(AI14+AK14-AL14+AM14-AN14)</f>
        <v>46756.94</v>
      </c>
      <c r="AP14" s="11"/>
      <c r="AQ14" s="11"/>
      <c r="AR14" s="11"/>
      <c r="AS14" s="11"/>
      <c r="AT14" s="11"/>
      <c r="AU14" s="11">
        <f t="shared" ref="AU14:AU24" si="10">SUM(AO14+AQ14-AR14+AS14-AT14)</f>
        <v>46756.94</v>
      </c>
      <c r="AV14" s="11"/>
      <c r="AW14" s="11"/>
      <c r="AX14" s="11"/>
      <c r="AY14" s="11"/>
      <c r="AZ14" s="11"/>
      <c r="BA14" s="11">
        <f t="shared" ref="BA14:BA24" si="11">SUM(AU14+AW14-AX14+AY14-AZ14)</f>
        <v>46756.94</v>
      </c>
      <c r="BB14" s="11"/>
      <c r="BC14" s="11"/>
      <c r="BD14" s="11"/>
      <c r="BE14" s="11"/>
      <c r="BF14" s="11"/>
      <c r="BG14" s="11">
        <f t="shared" si="3"/>
        <v>46756.94</v>
      </c>
      <c r="BH14" s="11"/>
      <c r="BI14" s="11"/>
      <c r="BJ14" s="11"/>
      <c r="BK14" s="11"/>
      <c r="BL14" s="11"/>
      <c r="BM14" s="11">
        <f t="shared" ref="BM14:BM24" si="12">SUM(BG14+BI14-BJ14+BK14-BL14)</f>
        <v>46756.94</v>
      </c>
      <c r="BN14" s="11"/>
      <c r="BO14" s="11"/>
      <c r="BP14" s="11"/>
      <c r="BQ14" s="11"/>
      <c r="BR14" s="11"/>
      <c r="BS14" s="11">
        <f t="shared" ref="BS14:BS24" si="13">SUM(BM14+BO14-BP14+BQ14-BR14)</f>
        <v>46756.94</v>
      </c>
      <c r="BT14" s="11"/>
      <c r="BU14" s="11"/>
      <c r="BV14" s="11"/>
      <c r="BW14" s="11"/>
      <c r="BX14" s="11"/>
      <c r="BY14" s="11">
        <f t="shared" ref="BY14:BY24" si="14">SUM(BS14+BU14-BV14+BW14-BX14)</f>
        <v>46756.94</v>
      </c>
      <c r="BZ14" s="11"/>
      <c r="CA14" s="11"/>
      <c r="CB14" s="11"/>
      <c r="CC14" s="87">
        <f>+BY14+CA14-BZ14-CB14</f>
        <v>46756.94</v>
      </c>
      <c r="CD14" s="11"/>
    </row>
    <row r="15" spans="1:84">
      <c r="A15" s="12"/>
      <c r="B15" s="24" t="s">
        <v>221</v>
      </c>
      <c r="C15" s="24"/>
      <c r="D15" s="24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>
        <f t="shared" si="5"/>
        <v>0</v>
      </c>
      <c r="R15" s="11"/>
      <c r="S15" s="11"/>
      <c r="T15" s="11"/>
      <c r="U15" s="11"/>
      <c r="V15" s="11"/>
      <c r="W15" s="11">
        <f t="shared" si="6"/>
        <v>0</v>
      </c>
      <c r="X15" s="11"/>
      <c r="Y15" s="11"/>
      <c r="Z15" s="11"/>
      <c r="AA15" s="11"/>
      <c r="AB15" s="11"/>
      <c r="AC15" s="11">
        <f t="shared" si="7"/>
        <v>0</v>
      </c>
      <c r="AD15" s="11"/>
      <c r="AE15" s="11"/>
      <c r="AF15" s="168"/>
      <c r="AG15" s="11"/>
      <c r="AH15" s="11"/>
      <c r="AI15" s="11">
        <f t="shared" si="8"/>
        <v>0</v>
      </c>
      <c r="AJ15" s="11"/>
      <c r="AK15" s="11"/>
      <c r="AL15" s="11"/>
      <c r="AM15" s="11"/>
      <c r="AN15" s="11"/>
      <c r="AO15" s="11">
        <f t="shared" si="9"/>
        <v>0</v>
      </c>
      <c r="AP15" s="11"/>
      <c r="AQ15" s="11"/>
      <c r="AR15" s="11"/>
      <c r="AS15" s="11"/>
      <c r="AT15" s="11"/>
      <c r="AU15" s="11">
        <f t="shared" si="10"/>
        <v>0</v>
      </c>
      <c r="AV15" s="11"/>
      <c r="AW15" s="11"/>
      <c r="AX15" s="11"/>
      <c r="AY15" s="11"/>
      <c r="AZ15" s="11"/>
      <c r="BA15" s="11">
        <f t="shared" si="11"/>
        <v>0</v>
      </c>
      <c r="BB15" s="11"/>
      <c r="BC15" s="11"/>
      <c r="BD15" s="11"/>
      <c r="BE15" s="11"/>
      <c r="BF15" s="11"/>
      <c r="BG15" s="11">
        <f t="shared" si="3"/>
        <v>0</v>
      </c>
      <c r="BH15" s="11"/>
      <c r="BI15" s="11"/>
      <c r="BJ15" s="11"/>
      <c r="BK15" s="11"/>
      <c r="BL15" s="11"/>
      <c r="BM15" s="11">
        <f t="shared" si="12"/>
        <v>0</v>
      </c>
      <c r="BN15" s="11"/>
      <c r="BO15" s="11"/>
      <c r="BP15" s="11"/>
      <c r="BQ15" s="11"/>
      <c r="BR15" s="11"/>
      <c r="BS15" s="11">
        <f t="shared" si="13"/>
        <v>0</v>
      </c>
      <c r="BT15" s="11"/>
      <c r="BU15" s="11"/>
      <c r="BV15" s="11"/>
      <c r="BW15" s="11"/>
      <c r="BX15" s="11"/>
      <c r="BY15" s="11">
        <f t="shared" si="14"/>
        <v>0</v>
      </c>
      <c r="BZ15" s="11"/>
      <c r="CA15" s="11"/>
      <c r="CB15" s="11"/>
      <c r="CC15" s="11">
        <f>SUM(BW15+BY15-BZ15+CA15-CB15)</f>
        <v>0</v>
      </c>
      <c r="CD15" s="11"/>
    </row>
    <row r="16" spans="1:84">
      <c r="A16" s="12"/>
      <c r="B16" s="24"/>
      <c r="C16" s="24" t="s">
        <v>223</v>
      </c>
      <c r="D16" s="24"/>
      <c r="E16" s="11">
        <v>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>
        <f t="shared" si="5"/>
        <v>0</v>
      </c>
      <c r="R16" s="11"/>
      <c r="S16" s="11"/>
      <c r="T16" s="11"/>
      <c r="U16" s="11"/>
      <c r="V16" s="11"/>
      <c r="W16" s="11">
        <f t="shared" si="6"/>
        <v>0</v>
      </c>
      <c r="X16" s="11"/>
      <c r="Y16" s="11"/>
      <c r="Z16" s="11"/>
      <c r="AA16" s="11"/>
      <c r="AB16" s="11"/>
      <c r="AC16" s="11">
        <f t="shared" si="7"/>
        <v>0</v>
      </c>
      <c r="AD16" s="11"/>
      <c r="AE16" s="11"/>
      <c r="AF16" s="168"/>
      <c r="AG16" s="11"/>
      <c r="AH16" s="11"/>
      <c r="AI16" s="11">
        <f t="shared" si="8"/>
        <v>0</v>
      </c>
      <c r="AJ16" s="11"/>
      <c r="AK16" s="11"/>
      <c r="AL16" s="11"/>
      <c r="AM16" s="11"/>
      <c r="AN16" s="11"/>
      <c r="AO16" s="11">
        <f t="shared" si="9"/>
        <v>0</v>
      </c>
      <c r="AP16" s="11"/>
      <c r="AQ16" s="11"/>
      <c r="AR16" s="11"/>
      <c r="AS16" s="11"/>
      <c r="AT16" s="11"/>
      <c r="AU16" s="11">
        <f t="shared" si="10"/>
        <v>0</v>
      </c>
      <c r="AV16" s="11"/>
      <c r="AW16" s="11"/>
      <c r="AX16" s="11"/>
      <c r="AY16" s="11"/>
      <c r="AZ16" s="11"/>
      <c r="BA16" s="11">
        <f t="shared" si="11"/>
        <v>0</v>
      </c>
      <c r="BB16" s="11"/>
      <c r="BC16" s="11"/>
      <c r="BD16" s="11"/>
      <c r="BE16" s="11"/>
      <c r="BF16" s="11"/>
      <c r="BG16" s="11">
        <f t="shared" si="3"/>
        <v>0</v>
      </c>
      <c r="BH16" s="11"/>
      <c r="BI16" s="11"/>
      <c r="BJ16" s="11"/>
      <c r="BK16" s="11"/>
      <c r="BL16" s="11"/>
      <c r="BM16" s="11">
        <f t="shared" si="12"/>
        <v>0</v>
      </c>
      <c r="BN16" s="11"/>
      <c r="BO16" s="11"/>
      <c r="BP16" s="11"/>
      <c r="BQ16" s="11"/>
      <c r="BR16" s="11"/>
      <c r="BS16" s="11">
        <f t="shared" si="13"/>
        <v>0</v>
      </c>
      <c r="BT16" s="11"/>
      <c r="BU16" s="11"/>
      <c r="BV16" s="11"/>
      <c r="BW16" s="11"/>
      <c r="BX16" s="11"/>
      <c r="BY16" s="11">
        <f t="shared" si="14"/>
        <v>0</v>
      </c>
      <c r="BZ16" s="11"/>
      <c r="CA16" s="11"/>
      <c r="CB16" s="11"/>
      <c r="CC16" s="11">
        <f>SUM(BW16+BY16-BZ16+CA16-CB16)</f>
        <v>0</v>
      </c>
      <c r="CD16" s="11"/>
    </row>
    <row r="17" spans="1:84">
      <c r="A17" s="388" t="s">
        <v>337</v>
      </c>
      <c r="B17" s="389"/>
      <c r="C17" s="389"/>
      <c r="D17" s="390"/>
      <c r="E17" s="11">
        <v>2628811.35</v>
      </c>
      <c r="F17" s="11"/>
      <c r="G17" s="11"/>
      <c r="H17" s="11"/>
      <c r="I17" s="11"/>
      <c r="J17" s="11"/>
      <c r="K17" s="87">
        <f>SUM(E17+G17-H17+I17-J17)</f>
        <v>2628811.35</v>
      </c>
      <c r="L17" s="11"/>
      <c r="M17" s="11"/>
      <c r="N17" s="11"/>
      <c r="O17" s="11"/>
      <c r="P17" s="11"/>
      <c r="Q17" s="87">
        <f t="shared" si="5"/>
        <v>2628811.35</v>
      </c>
      <c r="R17" s="11"/>
      <c r="S17" s="11">
        <v>433845.1</v>
      </c>
      <c r="T17" s="11"/>
      <c r="U17" s="11"/>
      <c r="V17" s="11"/>
      <c r="W17" s="11">
        <f t="shared" si="6"/>
        <v>3062656.45</v>
      </c>
      <c r="X17" s="11"/>
      <c r="Y17" s="11"/>
      <c r="Z17" s="11"/>
      <c r="AA17" s="11"/>
      <c r="AB17" s="11"/>
      <c r="AC17" s="11">
        <f t="shared" ref="AC17:AC24" si="15">SUM(W17+Y17-Z17+AA17-AB17)</f>
        <v>3062656.45</v>
      </c>
      <c r="AD17" s="11"/>
      <c r="AE17" s="11"/>
      <c r="AF17" s="168"/>
      <c r="AG17" s="11"/>
      <c r="AH17" s="11"/>
      <c r="AI17" s="11">
        <f t="shared" si="8"/>
        <v>3062656.45</v>
      </c>
      <c r="AJ17" s="11"/>
      <c r="AK17" s="11"/>
      <c r="AL17" s="11"/>
      <c r="AM17" s="11"/>
      <c r="AN17" s="11"/>
      <c r="AO17" s="11">
        <f t="shared" si="9"/>
        <v>3062656.45</v>
      </c>
      <c r="AP17" s="11"/>
      <c r="AQ17" s="11"/>
      <c r="AR17" s="11"/>
      <c r="AS17" s="11"/>
      <c r="AT17" s="11"/>
      <c r="AU17" s="11">
        <f t="shared" si="10"/>
        <v>3062656.45</v>
      </c>
      <c r="AV17" s="11"/>
      <c r="AW17" s="11"/>
      <c r="AX17" s="11"/>
      <c r="AY17" s="11"/>
      <c r="AZ17" s="11"/>
      <c r="BA17" s="11">
        <f t="shared" si="11"/>
        <v>3062656.45</v>
      </c>
      <c r="BB17" s="11"/>
      <c r="BC17" s="11"/>
      <c r="BD17" s="11"/>
      <c r="BE17" s="11"/>
      <c r="BF17" s="11"/>
      <c r="BG17" s="11">
        <f t="shared" si="3"/>
        <v>3062656.45</v>
      </c>
      <c r="BH17" s="11"/>
      <c r="BI17" s="11"/>
      <c r="BJ17" s="11"/>
      <c r="BK17" s="11"/>
      <c r="BL17" s="11"/>
      <c r="BM17" s="11">
        <f t="shared" si="12"/>
        <v>3062656.45</v>
      </c>
      <c r="BN17" s="11"/>
      <c r="BO17" s="11"/>
      <c r="BP17" s="11"/>
      <c r="BQ17" s="11"/>
      <c r="BR17" s="11"/>
      <c r="BS17" s="11">
        <f t="shared" si="13"/>
        <v>3062656.45</v>
      </c>
      <c r="BT17" s="11"/>
      <c r="BU17" s="11"/>
      <c r="BV17" s="11"/>
      <c r="BW17" s="11"/>
      <c r="BX17" s="11"/>
      <c r="BY17" s="11">
        <f t="shared" si="14"/>
        <v>3062656.45</v>
      </c>
      <c r="BZ17" s="11"/>
      <c r="CA17" s="11"/>
      <c r="CB17" s="11"/>
      <c r="CC17" s="11">
        <f t="shared" ref="CC17:CC24" si="16">SUM(BW17+BY17-BZ17+CA17-CB17)</f>
        <v>3062656.45</v>
      </c>
      <c r="CD17" s="11"/>
    </row>
    <row r="18" spans="1:84" s="23" customFormat="1">
      <c r="A18" s="85" t="s">
        <v>335</v>
      </c>
      <c r="B18" s="86"/>
      <c r="C18" s="86"/>
      <c r="D18" s="86"/>
      <c r="E18" s="87">
        <v>0</v>
      </c>
      <c r="F18" s="87"/>
      <c r="G18" s="87">
        <v>28586</v>
      </c>
      <c r="H18" s="87"/>
      <c r="I18" s="87"/>
      <c r="J18" s="87">
        <f>3500+6362+1362+1362+6200</f>
        <v>18786</v>
      </c>
      <c r="K18" s="87">
        <f t="shared" ref="K18:K19" si="17">SUM(E18+G18-H18+I18-J18)</f>
        <v>9800</v>
      </c>
      <c r="L18" s="87"/>
      <c r="M18" s="87">
        <v>6300</v>
      </c>
      <c r="N18" s="87"/>
      <c r="O18" s="87"/>
      <c r="P18" s="87">
        <f>4900+4900</f>
        <v>9800</v>
      </c>
      <c r="Q18" s="87">
        <f t="shared" si="5"/>
        <v>6300</v>
      </c>
      <c r="R18" s="87"/>
      <c r="S18" s="87">
        <v>810900</v>
      </c>
      <c r="T18" s="87"/>
      <c r="U18" s="87"/>
      <c r="V18" s="87">
        <f>2400+3900+807000+3900</f>
        <v>817200</v>
      </c>
      <c r="W18" s="11">
        <f t="shared" si="6"/>
        <v>0</v>
      </c>
      <c r="X18" s="87"/>
      <c r="Y18" s="87">
        <v>918600</v>
      </c>
      <c r="Z18" s="87">
        <v>10000</v>
      </c>
      <c r="AA18" s="87"/>
      <c r="AB18" s="87">
        <v>803200</v>
      </c>
      <c r="AC18" s="11">
        <f t="shared" si="15"/>
        <v>105400</v>
      </c>
      <c r="AD18" s="87"/>
      <c r="AE18" s="87">
        <v>820900</v>
      </c>
      <c r="AF18" s="87"/>
      <c r="AG18" s="87"/>
      <c r="AH18" s="87">
        <f>4800+4800+3900+35000+797200</f>
        <v>845700</v>
      </c>
      <c r="AI18" s="11">
        <f t="shared" si="8"/>
        <v>80600</v>
      </c>
      <c r="AJ18" s="87"/>
      <c r="AK18" s="87"/>
      <c r="AL18" s="87"/>
      <c r="AM18" s="87"/>
      <c r="AN18" s="87"/>
      <c r="AO18" s="11">
        <f t="shared" si="9"/>
        <v>80600</v>
      </c>
      <c r="AP18" s="87"/>
      <c r="AQ18" s="87"/>
      <c r="AR18" s="87"/>
      <c r="AS18" s="87"/>
      <c r="AT18" s="87"/>
      <c r="AU18" s="11">
        <f t="shared" si="10"/>
        <v>80600</v>
      </c>
      <c r="AV18" s="87"/>
      <c r="AW18" s="87"/>
      <c r="AX18" s="87"/>
      <c r="AY18" s="87"/>
      <c r="AZ18" s="87"/>
      <c r="BA18" s="11">
        <f t="shared" si="11"/>
        <v>80600</v>
      </c>
      <c r="BB18" s="87"/>
      <c r="BC18" s="87"/>
      <c r="BD18" s="87"/>
      <c r="BE18" s="87"/>
      <c r="BF18" s="87"/>
      <c r="BG18" s="11">
        <f t="shared" si="3"/>
        <v>80600</v>
      </c>
      <c r="BH18" s="87"/>
      <c r="BI18" s="87"/>
      <c r="BJ18" s="87"/>
      <c r="BK18" s="87"/>
      <c r="BL18" s="87"/>
      <c r="BM18" s="11">
        <f t="shared" si="12"/>
        <v>80600</v>
      </c>
      <c r="BN18" s="87"/>
      <c r="BO18" s="87"/>
      <c r="BP18" s="87"/>
      <c r="BQ18" s="87"/>
      <c r="BR18" s="87"/>
      <c r="BS18" s="11">
        <f t="shared" si="13"/>
        <v>80600</v>
      </c>
      <c r="BT18" s="87"/>
      <c r="BU18" s="87"/>
      <c r="BV18" s="87"/>
      <c r="BW18" s="87"/>
      <c r="BX18" s="87"/>
      <c r="BY18" s="11">
        <f t="shared" si="14"/>
        <v>80600</v>
      </c>
      <c r="BZ18" s="87"/>
      <c r="CA18" s="87"/>
      <c r="CB18" s="87"/>
      <c r="CC18" s="11">
        <f t="shared" si="16"/>
        <v>80600</v>
      </c>
      <c r="CD18" s="87"/>
      <c r="CE18" s="89"/>
      <c r="CF18" s="89"/>
    </row>
    <row r="19" spans="1:84" s="23" customFormat="1">
      <c r="A19" s="391" t="s">
        <v>336</v>
      </c>
      <c r="B19" s="392"/>
      <c r="C19" s="392"/>
      <c r="D19" s="393"/>
      <c r="E19" s="87"/>
      <c r="F19" s="87"/>
      <c r="G19" s="87"/>
      <c r="H19" s="87">
        <v>32340</v>
      </c>
      <c r="I19" s="87">
        <v>32340</v>
      </c>
      <c r="J19" s="87"/>
      <c r="K19" s="87">
        <f t="shared" si="17"/>
        <v>0</v>
      </c>
      <c r="L19" s="87"/>
      <c r="M19" s="87"/>
      <c r="N19" s="87"/>
      <c r="O19" s="87"/>
      <c r="P19" s="87"/>
      <c r="Q19" s="87">
        <f t="shared" si="5"/>
        <v>0</v>
      </c>
      <c r="R19" s="87"/>
      <c r="S19" s="87"/>
      <c r="T19" s="87"/>
      <c r="U19" s="87"/>
      <c r="V19" s="87"/>
      <c r="W19" s="11">
        <f t="shared" si="6"/>
        <v>0</v>
      </c>
      <c r="X19" s="87"/>
      <c r="Y19" s="87"/>
      <c r="Z19" s="87"/>
      <c r="AA19" s="87"/>
      <c r="AB19" s="87"/>
      <c r="AC19" s="11">
        <f t="shared" si="15"/>
        <v>0</v>
      </c>
      <c r="AD19" s="87"/>
      <c r="AE19" s="87"/>
      <c r="AF19" s="87"/>
      <c r="AG19" s="87"/>
      <c r="AH19" s="87"/>
      <c r="AI19" s="11">
        <f t="shared" si="8"/>
        <v>0</v>
      </c>
      <c r="AJ19" s="87"/>
      <c r="AK19" s="87"/>
      <c r="AL19" s="87"/>
      <c r="AM19" s="87"/>
      <c r="AN19" s="87"/>
      <c r="AO19" s="11">
        <f t="shared" si="9"/>
        <v>0</v>
      </c>
      <c r="AP19" s="87"/>
      <c r="AQ19" s="87"/>
      <c r="AR19" s="87"/>
      <c r="AS19" s="87"/>
      <c r="AT19" s="87"/>
      <c r="AU19" s="11">
        <f t="shared" si="10"/>
        <v>0</v>
      </c>
      <c r="AV19" s="87"/>
      <c r="AW19" s="87"/>
      <c r="AX19" s="87"/>
      <c r="AY19" s="87"/>
      <c r="AZ19" s="87"/>
      <c r="BA19" s="11">
        <f t="shared" si="11"/>
        <v>0</v>
      </c>
      <c r="BB19" s="87"/>
      <c r="BC19" s="87"/>
      <c r="BD19" s="87"/>
      <c r="BE19" s="87"/>
      <c r="BF19" s="87"/>
      <c r="BG19" s="11">
        <f t="shared" si="3"/>
        <v>0</v>
      </c>
      <c r="BH19" s="87"/>
      <c r="BI19" s="87"/>
      <c r="BJ19" s="87"/>
      <c r="BK19" s="87"/>
      <c r="BL19" s="87"/>
      <c r="BM19" s="11">
        <f t="shared" si="12"/>
        <v>0</v>
      </c>
      <c r="BN19" s="87"/>
      <c r="BO19" s="87"/>
      <c r="BP19" s="87"/>
      <c r="BQ19" s="87"/>
      <c r="BR19" s="87"/>
      <c r="BS19" s="11">
        <f t="shared" si="13"/>
        <v>0</v>
      </c>
      <c r="BT19" s="87"/>
      <c r="BU19" s="87"/>
      <c r="BV19" s="87"/>
      <c r="BW19" s="87"/>
      <c r="BX19" s="87"/>
      <c r="BY19" s="11">
        <f t="shared" si="14"/>
        <v>0</v>
      </c>
      <c r="BZ19" s="87"/>
      <c r="CA19" s="87"/>
      <c r="CB19" s="87"/>
      <c r="CC19" s="11">
        <f t="shared" si="16"/>
        <v>0</v>
      </c>
      <c r="CD19" s="87"/>
      <c r="CE19" s="89"/>
      <c r="CF19" s="89"/>
    </row>
    <row r="20" spans="1:84" s="23" customFormat="1">
      <c r="A20" s="391" t="s">
        <v>48</v>
      </c>
      <c r="B20" s="392"/>
      <c r="C20" s="392"/>
      <c r="D20" s="393"/>
      <c r="E20" s="11">
        <v>11053.24</v>
      </c>
      <c r="F20" s="87"/>
      <c r="G20" s="87"/>
      <c r="H20" s="87"/>
      <c r="I20" s="87"/>
      <c r="J20" s="87"/>
      <c r="K20" s="87">
        <f>SUM(E20+G20-H20+I20-J20)</f>
        <v>11053.24</v>
      </c>
      <c r="L20" s="87"/>
      <c r="M20" s="87"/>
      <c r="N20" s="87"/>
      <c r="O20" s="87"/>
      <c r="P20" s="87"/>
      <c r="Q20" s="87">
        <f t="shared" si="5"/>
        <v>11053.24</v>
      </c>
      <c r="R20" s="87"/>
      <c r="S20" s="87"/>
      <c r="T20" s="87"/>
      <c r="U20" s="87"/>
      <c r="V20" s="87"/>
      <c r="W20" s="11">
        <f t="shared" si="6"/>
        <v>11053.24</v>
      </c>
      <c r="X20" s="87"/>
      <c r="Y20" s="87"/>
      <c r="Z20" s="87">
        <v>238.97</v>
      </c>
      <c r="AA20" s="87"/>
      <c r="AB20" s="87"/>
      <c r="AC20" s="11">
        <f t="shared" si="15"/>
        <v>10814.27</v>
      </c>
      <c r="AD20" s="87"/>
      <c r="AE20" s="87"/>
      <c r="AF20" s="87">
        <v>2027.74</v>
      </c>
      <c r="AG20" s="87"/>
      <c r="AH20" s="87"/>
      <c r="AI20" s="11">
        <f t="shared" si="8"/>
        <v>8786.5300000000007</v>
      </c>
      <c r="AJ20" s="87"/>
      <c r="AK20" s="87"/>
      <c r="AL20" s="87"/>
      <c r="AM20" s="87"/>
      <c r="AN20" s="87"/>
      <c r="AO20" s="11">
        <f t="shared" si="9"/>
        <v>8786.5300000000007</v>
      </c>
      <c r="AP20" s="87"/>
      <c r="AQ20" s="87"/>
      <c r="AR20" s="87"/>
      <c r="AS20" s="87"/>
      <c r="AT20" s="87"/>
      <c r="AU20" s="11">
        <f t="shared" si="10"/>
        <v>8786.5300000000007</v>
      </c>
      <c r="AV20" s="87"/>
      <c r="AW20" s="87"/>
      <c r="AX20" s="87"/>
      <c r="AY20" s="87"/>
      <c r="AZ20" s="87"/>
      <c r="BA20" s="11">
        <f t="shared" si="11"/>
        <v>8786.5300000000007</v>
      </c>
      <c r="BB20" s="87"/>
      <c r="BC20" s="87"/>
      <c r="BD20" s="87"/>
      <c r="BE20" s="87"/>
      <c r="BF20" s="87"/>
      <c r="BG20" s="11">
        <f t="shared" si="3"/>
        <v>8786.5300000000007</v>
      </c>
      <c r="BH20" s="87"/>
      <c r="BI20" s="87"/>
      <c r="BJ20" s="87"/>
      <c r="BK20" s="87"/>
      <c r="BL20" s="87"/>
      <c r="BM20" s="11">
        <f t="shared" si="12"/>
        <v>8786.5300000000007</v>
      </c>
      <c r="BN20" s="87"/>
      <c r="BO20" s="87"/>
      <c r="BP20" s="87"/>
      <c r="BQ20" s="87"/>
      <c r="BR20" s="87"/>
      <c r="BS20" s="11">
        <f t="shared" si="13"/>
        <v>8786.5300000000007</v>
      </c>
      <c r="BT20" s="87"/>
      <c r="BU20" s="87"/>
      <c r="BV20" s="87"/>
      <c r="BW20" s="87"/>
      <c r="BX20" s="87"/>
      <c r="BY20" s="11">
        <f t="shared" si="14"/>
        <v>8786.5300000000007</v>
      </c>
      <c r="BZ20" s="87"/>
      <c r="CA20" s="87"/>
      <c r="CB20" s="87"/>
      <c r="CC20" s="11">
        <f t="shared" si="16"/>
        <v>8786.5300000000007</v>
      </c>
      <c r="CD20" s="87"/>
      <c r="CE20" s="89"/>
      <c r="CF20" s="89"/>
    </row>
    <row r="21" spans="1:84">
      <c r="A21" s="388" t="s">
        <v>325</v>
      </c>
      <c r="B21" s="389"/>
      <c r="C21" s="389"/>
      <c r="D21" s="390"/>
      <c r="E21" s="11">
        <v>191626.86</v>
      </c>
      <c r="F21" s="11"/>
      <c r="G21" s="11"/>
      <c r="H21" s="11"/>
      <c r="I21" s="11"/>
      <c r="J21" s="11"/>
      <c r="K21" s="87">
        <f>SUM(E21+G21-H21+I21-J21)</f>
        <v>191626.86</v>
      </c>
      <c r="L21" s="11"/>
      <c r="M21" s="11"/>
      <c r="N21" s="11"/>
      <c r="O21" s="11"/>
      <c r="P21" s="11"/>
      <c r="Q21" s="87">
        <f t="shared" si="5"/>
        <v>191626.86</v>
      </c>
      <c r="R21" s="11"/>
      <c r="S21" s="11"/>
      <c r="T21" s="11"/>
      <c r="U21" s="11"/>
      <c r="V21" s="11"/>
      <c r="W21" s="11">
        <f t="shared" si="6"/>
        <v>191626.86</v>
      </c>
      <c r="X21" s="11"/>
      <c r="Y21" s="11"/>
      <c r="Z21" s="11"/>
      <c r="AA21" s="11"/>
      <c r="AB21" s="11"/>
      <c r="AC21" s="11">
        <f t="shared" si="15"/>
        <v>191626.86</v>
      </c>
      <c r="AD21" s="11"/>
      <c r="AE21" s="11"/>
      <c r="AF21" s="168"/>
      <c r="AG21" s="11"/>
      <c r="AH21" s="11"/>
      <c r="AI21" s="11">
        <f t="shared" si="8"/>
        <v>191626.86</v>
      </c>
      <c r="AJ21" s="11"/>
      <c r="AK21" s="11"/>
      <c r="AL21" s="11"/>
      <c r="AM21" s="11"/>
      <c r="AN21" s="11"/>
      <c r="AO21" s="11">
        <f t="shared" si="9"/>
        <v>191626.86</v>
      </c>
      <c r="AP21" s="11"/>
      <c r="AQ21" s="11"/>
      <c r="AR21" s="11"/>
      <c r="AS21" s="11"/>
      <c r="AT21" s="11"/>
      <c r="AU21" s="11">
        <f t="shared" si="10"/>
        <v>191626.86</v>
      </c>
      <c r="AV21" s="11"/>
      <c r="AW21" s="11"/>
      <c r="AX21" s="11"/>
      <c r="AY21" s="11"/>
      <c r="AZ21" s="11"/>
      <c r="BA21" s="11">
        <f t="shared" si="11"/>
        <v>191626.86</v>
      </c>
      <c r="BB21" s="11"/>
      <c r="BC21" s="11"/>
      <c r="BD21" s="11"/>
      <c r="BE21" s="11"/>
      <c r="BF21" s="11"/>
      <c r="BG21" s="11">
        <f t="shared" si="3"/>
        <v>191626.86</v>
      </c>
      <c r="BH21" s="11"/>
      <c r="BI21" s="11"/>
      <c r="BJ21" s="11"/>
      <c r="BK21" s="11"/>
      <c r="BL21" s="11"/>
      <c r="BM21" s="11">
        <f t="shared" si="12"/>
        <v>191626.86</v>
      </c>
      <c r="BN21" s="11"/>
      <c r="BO21" s="11"/>
      <c r="BP21" s="11"/>
      <c r="BQ21" s="11"/>
      <c r="BR21" s="11"/>
      <c r="BS21" s="11">
        <f t="shared" si="13"/>
        <v>191626.86</v>
      </c>
      <c r="BT21" s="11"/>
      <c r="BU21" s="11"/>
      <c r="BV21" s="11"/>
      <c r="BW21" s="11"/>
      <c r="BX21" s="11"/>
      <c r="BY21" s="11">
        <f t="shared" si="14"/>
        <v>191626.86</v>
      </c>
      <c r="BZ21" s="11"/>
      <c r="CA21" s="11"/>
      <c r="CB21" s="11"/>
      <c r="CC21" s="11">
        <f t="shared" si="16"/>
        <v>191626.86</v>
      </c>
      <c r="CD21" s="11"/>
    </row>
    <row r="22" spans="1:84">
      <c r="A22" s="12" t="s">
        <v>319</v>
      </c>
      <c r="B22" s="24"/>
      <c r="C22" s="24"/>
      <c r="D22" s="24"/>
      <c r="E22" s="11">
        <v>231294.61</v>
      </c>
      <c r="F22" s="11"/>
      <c r="G22" s="11"/>
      <c r="H22" s="11"/>
      <c r="I22" s="11"/>
      <c r="J22" s="11"/>
      <c r="K22" s="11">
        <f>SUM(E22+G22-H22+I22-J22)</f>
        <v>231294.61</v>
      </c>
      <c r="L22" s="11"/>
      <c r="M22" s="11"/>
      <c r="N22" s="11"/>
      <c r="O22" s="11"/>
      <c r="P22" s="11"/>
      <c r="Q22" s="11">
        <f t="shared" ref="Q22" si="18">SUM(K22+M22-N22+O22-P22)</f>
        <v>231294.61</v>
      </c>
      <c r="R22" s="11"/>
      <c r="S22" s="11"/>
      <c r="T22" s="11"/>
      <c r="U22" s="11"/>
      <c r="V22" s="11"/>
      <c r="W22" s="11">
        <f t="shared" ref="W22" si="19">SUM(Q22+S22-T22+U22-V22)</f>
        <v>231294.61</v>
      </c>
      <c r="X22" s="11"/>
      <c r="Y22" s="11"/>
      <c r="Z22" s="11"/>
      <c r="AA22" s="11"/>
      <c r="AB22" s="11"/>
      <c r="AC22" s="11">
        <f t="shared" si="15"/>
        <v>231294.61</v>
      </c>
      <c r="AD22" s="11"/>
      <c r="AE22" s="11"/>
      <c r="AF22" s="168"/>
      <c r="AG22" s="11"/>
      <c r="AH22" s="11">
        <f>56403.61+8500+7500</f>
        <v>72403.61</v>
      </c>
      <c r="AI22" s="11">
        <f t="shared" si="8"/>
        <v>158891</v>
      </c>
      <c r="AJ22" s="11"/>
      <c r="AK22" s="11"/>
      <c r="AL22" s="11"/>
      <c r="AM22" s="11"/>
      <c r="AN22" s="11"/>
      <c r="AO22" s="11">
        <f t="shared" si="9"/>
        <v>158891</v>
      </c>
      <c r="AP22" s="11"/>
      <c r="AQ22" s="11"/>
      <c r="AR22" s="11"/>
      <c r="AS22" s="11"/>
      <c r="AT22" s="11"/>
      <c r="AU22" s="11">
        <f t="shared" si="10"/>
        <v>158891</v>
      </c>
      <c r="AV22" s="11"/>
      <c r="AW22" s="11"/>
      <c r="AX22" s="11"/>
      <c r="AY22" s="11"/>
      <c r="AZ22" s="11"/>
      <c r="BA22" s="11">
        <f t="shared" si="11"/>
        <v>158891</v>
      </c>
      <c r="BB22" s="11"/>
      <c r="BC22" s="11"/>
      <c r="BD22" s="11"/>
      <c r="BE22" s="11"/>
      <c r="BF22" s="11"/>
      <c r="BG22" s="11">
        <f t="shared" si="3"/>
        <v>158891</v>
      </c>
      <c r="BH22" s="11"/>
      <c r="BI22" s="11"/>
      <c r="BJ22" s="11"/>
      <c r="BK22" s="11"/>
      <c r="BL22" s="11"/>
      <c r="BM22" s="11">
        <f t="shared" si="12"/>
        <v>158891</v>
      </c>
      <c r="BN22" s="11"/>
      <c r="BO22" s="11"/>
      <c r="BP22" s="11"/>
      <c r="BQ22" s="11"/>
      <c r="BR22" s="11"/>
      <c r="BS22" s="11">
        <f t="shared" si="13"/>
        <v>158891</v>
      </c>
      <c r="BT22" s="11"/>
      <c r="BU22" s="11"/>
      <c r="BV22" s="11"/>
      <c r="BW22" s="11"/>
      <c r="BX22" s="11"/>
      <c r="BY22" s="11">
        <f t="shared" si="14"/>
        <v>158891</v>
      </c>
      <c r="BZ22" s="11"/>
      <c r="CA22" s="11"/>
      <c r="CB22" s="11"/>
      <c r="CC22" s="11">
        <f t="shared" si="16"/>
        <v>158891</v>
      </c>
      <c r="CD22" s="11"/>
    </row>
    <row r="23" spans="1:84" s="23" customFormat="1">
      <c r="A23" s="85" t="s">
        <v>110</v>
      </c>
      <c r="B23" s="86"/>
      <c r="C23" s="86"/>
      <c r="D23" s="86"/>
      <c r="E23" s="87">
        <v>32340</v>
      </c>
      <c r="F23" s="87"/>
      <c r="G23" s="87">
        <v>1088380</v>
      </c>
      <c r="H23" s="87"/>
      <c r="I23" s="87"/>
      <c r="J23" s="87">
        <v>32340</v>
      </c>
      <c r="K23" s="87">
        <f>SUM(E23+G23-H23+I23-J23)</f>
        <v>1088380</v>
      </c>
      <c r="L23" s="87"/>
      <c r="M23" s="87">
        <v>971200</v>
      </c>
      <c r="N23" s="87"/>
      <c r="O23" s="87"/>
      <c r="P23" s="87">
        <f>825600+147200+115580+147200+824000</f>
        <v>2059580</v>
      </c>
      <c r="Q23" s="87">
        <f t="shared" si="5"/>
        <v>0</v>
      </c>
      <c r="R23" s="87"/>
      <c r="S23" s="87">
        <v>1600</v>
      </c>
      <c r="T23" s="87"/>
      <c r="U23" s="87"/>
      <c r="V23" s="87">
        <v>1600</v>
      </c>
      <c r="W23" s="87">
        <f t="shared" si="6"/>
        <v>0</v>
      </c>
      <c r="X23" s="87"/>
      <c r="Y23" s="87"/>
      <c r="Z23" s="87"/>
      <c r="AA23" s="87"/>
      <c r="AB23" s="87"/>
      <c r="AC23" s="11">
        <f t="shared" si="15"/>
        <v>0</v>
      </c>
      <c r="AD23" s="87"/>
      <c r="AE23" s="87"/>
      <c r="AF23" s="87"/>
      <c r="AG23" s="87"/>
      <c r="AH23" s="87"/>
      <c r="AI23" s="11">
        <f t="shared" si="8"/>
        <v>0</v>
      </c>
      <c r="AJ23" s="87"/>
      <c r="AK23" s="87"/>
      <c r="AL23" s="87"/>
      <c r="AM23" s="87"/>
      <c r="AN23" s="87"/>
      <c r="AO23" s="11">
        <f t="shared" si="9"/>
        <v>0</v>
      </c>
      <c r="AP23" s="87"/>
      <c r="AQ23" s="87"/>
      <c r="AR23" s="87"/>
      <c r="AS23" s="87"/>
      <c r="AT23" s="87"/>
      <c r="AU23" s="11">
        <f t="shared" si="10"/>
        <v>0</v>
      </c>
      <c r="AV23" s="87"/>
      <c r="AW23" s="87"/>
      <c r="AX23" s="87"/>
      <c r="AY23" s="87"/>
      <c r="AZ23" s="87"/>
      <c r="BA23" s="11">
        <f t="shared" si="11"/>
        <v>0</v>
      </c>
      <c r="BB23" s="87"/>
      <c r="BC23" s="87"/>
      <c r="BD23" s="87"/>
      <c r="BE23" s="87"/>
      <c r="BF23" s="87"/>
      <c r="BG23" s="11">
        <f t="shared" si="3"/>
        <v>0</v>
      </c>
      <c r="BH23" s="87"/>
      <c r="BI23" s="87"/>
      <c r="BJ23" s="87"/>
      <c r="BK23" s="87"/>
      <c r="BL23" s="87"/>
      <c r="BM23" s="11">
        <f t="shared" si="12"/>
        <v>0</v>
      </c>
      <c r="BN23" s="87"/>
      <c r="BO23" s="87"/>
      <c r="BP23" s="87"/>
      <c r="BQ23" s="87"/>
      <c r="BR23" s="87"/>
      <c r="BS23" s="11">
        <f t="shared" si="13"/>
        <v>0</v>
      </c>
      <c r="BT23" s="87"/>
      <c r="BU23" s="87"/>
      <c r="BV23" s="87"/>
      <c r="BW23" s="87"/>
      <c r="BX23" s="87"/>
      <c r="BY23" s="11">
        <f t="shared" si="14"/>
        <v>0</v>
      </c>
      <c r="BZ23" s="87"/>
      <c r="CA23" s="87"/>
      <c r="CB23" s="87"/>
      <c r="CC23" s="11">
        <f t="shared" si="16"/>
        <v>0</v>
      </c>
      <c r="CD23" s="87"/>
      <c r="CE23" s="89"/>
      <c r="CF23" s="89"/>
    </row>
    <row r="24" spans="1:84">
      <c r="A24" s="388" t="s">
        <v>323</v>
      </c>
      <c r="B24" s="389"/>
      <c r="C24" s="389"/>
      <c r="D24" s="390"/>
      <c r="E24" s="11">
        <v>21339050.350000001</v>
      </c>
      <c r="F24" s="11"/>
      <c r="G24" s="11"/>
      <c r="H24" s="11"/>
      <c r="I24" s="11"/>
      <c r="J24" s="11"/>
      <c r="K24" s="87">
        <f>SUM(E24+G24-H24+I24-J24)</f>
        <v>21339050.350000001</v>
      </c>
      <c r="L24" s="11"/>
      <c r="M24" s="11"/>
      <c r="N24" s="11"/>
      <c r="O24" s="11"/>
      <c r="P24" s="11"/>
      <c r="Q24" s="87">
        <f t="shared" si="5"/>
        <v>21339050.350000001</v>
      </c>
      <c r="R24" s="11"/>
      <c r="S24" s="11"/>
      <c r="T24" s="11"/>
      <c r="U24" s="11"/>
      <c r="V24" s="11"/>
      <c r="W24" s="87">
        <f t="shared" si="6"/>
        <v>21339050.350000001</v>
      </c>
      <c r="X24" s="11"/>
      <c r="Y24" s="11"/>
      <c r="Z24" s="11"/>
      <c r="AA24" s="11"/>
      <c r="AB24" s="11"/>
      <c r="AC24" s="11">
        <f t="shared" si="15"/>
        <v>21339050.350000001</v>
      </c>
      <c r="AD24" s="11"/>
      <c r="AE24" s="11"/>
      <c r="AF24" s="168"/>
      <c r="AG24" s="11"/>
      <c r="AH24" s="11"/>
      <c r="AI24" s="11">
        <f t="shared" si="8"/>
        <v>21339050.350000001</v>
      </c>
      <c r="AJ24" s="11"/>
      <c r="AK24" s="11"/>
      <c r="AL24" s="11"/>
      <c r="AM24" s="11"/>
      <c r="AN24" s="11"/>
      <c r="AO24" s="11">
        <f t="shared" si="9"/>
        <v>21339050.350000001</v>
      </c>
      <c r="AP24" s="11"/>
      <c r="AQ24" s="11"/>
      <c r="AR24" s="11"/>
      <c r="AS24" s="11"/>
      <c r="AT24" s="11"/>
      <c r="AU24" s="11">
        <f t="shared" si="10"/>
        <v>21339050.350000001</v>
      </c>
      <c r="AV24" s="11"/>
      <c r="AW24" s="11"/>
      <c r="AX24" s="11"/>
      <c r="AY24" s="11"/>
      <c r="AZ24" s="11"/>
      <c r="BA24" s="11">
        <f t="shared" si="11"/>
        <v>21339050.350000001</v>
      </c>
      <c r="BB24" s="11"/>
      <c r="BC24" s="11"/>
      <c r="BD24" s="11"/>
      <c r="BE24" s="11"/>
      <c r="BF24" s="11"/>
      <c r="BG24" s="11">
        <f t="shared" si="3"/>
        <v>21339050.350000001</v>
      </c>
      <c r="BH24" s="11"/>
      <c r="BI24" s="11"/>
      <c r="BJ24" s="11"/>
      <c r="BK24" s="11"/>
      <c r="BL24" s="11"/>
      <c r="BM24" s="11">
        <f t="shared" si="12"/>
        <v>21339050.350000001</v>
      </c>
      <c r="BN24" s="11"/>
      <c r="BO24" s="11"/>
      <c r="BP24" s="11"/>
      <c r="BQ24" s="11"/>
      <c r="BR24" s="11"/>
      <c r="BS24" s="11">
        <f t="shared" si="13"/>
        <v>21339050.350000001</v>
      </c>
      <c r="BT24" s="11"/>
      <c r="BU24" s="11"/>
      <c r="BV24" s="11"/>
      <c r="BW24" s="11"/>
      <c r="BX24" s="11"/>
      <c r="BY24" s="11">
        <f t="shared" si="14"/>
        <v>21339050.350000001</v>
      </c>
      <c r="BZ24" s="11"/>
      <c r="CA24" s="11"/>
      <c r="CB24" s="11"/>
      <c r="CC24" s="11">
        <f t="shared" si="16"/>
        <v>21339050.350000001</v>
      </c>
      <c r="CD24" s="11"/>
    </row>
    <row r="25" spans="1:84" s="111" customFormat="1">
      <c r="A25" s="383" t="s">
        <v>66</v>
      </c>
      <c r="B25" s="384"/>
      <c r="C25" s="384"/>
      <c r="D25" s="384"/>
      <c r="E25" s="109">
        <f>SUM(E4:E5,E17:E24)</f>
        <v>55055089.750000007</v>
      </c>
      <c r="F25" s="109">
        <f t="shared" ref="F25:BQ25" si="20">SUM(F4:F5,F17:F24)</f>
        <v>0</v>
      </c>
      <c r="G25" s="109">
        <f>SUM(G4:G5,G17:G24)</f>
        <v>2580983.65</v>
      </c>
      <c r="H25" s="109">
        <f>SUM(H4:H5,H17:H24)</f>
        <v>3734055.35</v>
      </c>
      <c r="I25" s="109">
        <f>SUM(I4:I5,I17:I24)</f>
        <v>3734055.35</v>
      </c>
      <c r="J25" s="109">
        <f>SUM(J4:J5,J17:J24)</f>
        <v>3752841.35</v>
      </c>
      <c r="K25" s="109">
        <f>SUM(K4:K5,K17:K24)</f>
        <v>53883232.050000004</v>
      </c>
      <c r="L25" s="109">
        <f t="shared" si="20"/>
        <v>0</v>
      </c>
      <c r="M25" s="109">
        <f>SUM(M4:M5,M17:M24)</f>
        <v>12005457.470000001</v>
      </c>
      <c r="N25" s="109">
        <f>SUM(N4:N5,N17:N24)</f>
        <v>5162235.0500000007</v>
      </c>
      <c r="O25" s="109">
        <f>SUM(O4:O5,O17:O24)</f>
        <v>8162235.0500000007</v>
      </c>
      <c r="P25" s="109">
        <f>SUM(P4:P5,P17:P24)</f>
        <v>10231615.049999999</v>
      </c>
      <c r="Q25" s="109">
        <f>SUM(Q4:Q5,Q17:Q24)</f>
        <v>58657074.470000006</v>
      </c>
      <c r="R25" s="109">
        <f t="shared" si="20"/>
        <v>0</v>
      </c>
      <c r="S25" s="109">
        <f t="shared" si="20"/>
        <v>4793655.2</v>
      </c>
      <c r="T25" s="109">
        <f t="shared" si="20"/>
        <v>4930266.6300000008</v>
      </c>
      <c r="U25" s="109">
        <f t="shared" si="20"/>
        <v>12930266.630000001</v>
      </c>
      <c r="V25" s="109">
        <f t="shared" si="20"/>
        <v>13749066.630000001</v>
      </c>
      <c r="W25" s="109">
        <f>SUM(W4:W5,W17:W24)</f>
        <v>57701663.040000007</v>
      </c>
      <c r="X25" s="109">
        <f>SUM(X4:X5,X17:X24)</f>
        <v>0</v>
      </c>
      <c r="Y25" s="109">
        <f t="shared" si="20"/>
        <v>8273069.4300000006</v>
      </c>
      <c r="Z25" s="109">
        <f t="shared" si="20"/>
        <v>4356967.4099999992</v>
      </c>
      <c r="AA25" s="109">
        <f t="shared" si="20"/>
        <v>4346728.4399999995</v>
      </c>
      <c r="AB25" s="109">
        <f t="shared" si="20"/>
        <v>5149928.4399999995</v>
      </c>
      <c r="AC25" s="109">
        <f>SUM(AC4:AC5,AC17:AC24)</f>
        <v>60814565.060000017</v>
      </c>
      <c r="AD25" s="109">
        <f t="shared" si="20"/>
        <v>0</v>
      </c>
      <c r="AE25" s="109">
        <f t="shared" si="20"/>
        <v>2779024.0599999996</v>
      </c>
      <c r="AF25" s="109">
        <f t="shared" si="20"/>
        <v>4584050.5200000005</v>
      </c>
      <c r="AG25" s="109">
        <f t="shared" si="20"/>
        <v>4581956.83</v>
      </c>
      <c r="AH25" s="109">
        <f t="shared" si="20"/>
        <v>5500060.4400000004</v>
      </c>
      <c r="AI25" s="109">
        <f t="shared" si="20"/>
        <v>58091434.99000001</v>
      </c>
      <c r="AJ25" s="109">
        <f>SUM(AJ4:AJ5,AJ17:AJ24)</f>
        <v>0</v>
      </c>
      <c r="AK25" s="109">
        <f t="shared" si="20"/>
        <v>0</v>
      </c>
      <c r="AL25" s="109">
        <f t="shared" si="20"/>
        <v>0</v>
      </c>
      <c r="AM25" s="109">
        <f t="shared" si="20"/>
        <v>0</v>
      </c>
      <c r="AN25" s="109">
        <f t="shared" si="20"/>
        <v>0</v>
      </c>
      <c r="AO25" s="109">
        <f t="shared" si="20"/>
        <v>58091434.99000001</v>
      </c>
      <c r="AP25" s="109">
        <f t="shared" si="20"/>
        <v>0</v>
      </c>
      <c r="AQ25" s="109">
        <f t="shared" si="20"/>
        <v>0</v>
      </c>
      <c r="AR25" s="109">
        <f t="shared" si="20"/>
        <v>0</v>
      </c>
      <c r="AS25" s="109">
        <f t="shared" si="20"/>
        <v>0</v>
      </c>
      <c r="AT25" s="109">
        <f t="shared" si="20"/>
        <v>0</v>
      </c>
      <c r="AU25" s="109">
        <f t="shared" si="20"/>
        <v>58091434.99000001</v>
      </c>
      <c r="AV25" s="109">
        <f t="shared" si="20"/>
        <v>0</v>
      </c>
      <c r="AW25" s="109">
        <f t="shared" si="20"/>
        <v>0</v>
      </c>
      <c r="AX25" s="109">
        <f t="shared" si="20"/>
        <v>0</v>
      </c>
      <c r="AY25" s="109">
        <f t="shared" si="20"/>
        <v>0</v>
      </c>
      <c r="AZ25" s="109">
        <f t="shared" si="20"/>
        <v>0</v>
      </c>
      <c r="BA25" s="109">
        <f t="shared" si="20"/>
        <v>58091434.99000001</v>
      </c>
      <c r="BB25" s="109">
        <f t="shared" si="20"/>
        <v>0</v>
      </c>
      <c r="BC25" s="109">
        <f t="shared" si="20"/>
        <v>0</v>
      </c>
      <c r="BD25" s="109">
        <f t="shared" si="20"/>
        <v>0</v>
      </c>
      <c r="BE25" s="109">
        <f t="shared" si="20"/>
        <v>0</v>
      </c>
      <c r="BF25" s="109">
        <f t="shared" si="20"/>
        <v>0</v>
      </c>
      <c r="BG25" s="109">
        <f t="shared" si="20"/>
        <v>58091434.99000001</v>
      </c>
      <c r="BH25" s="109">
        <f t="shared" si="20"/>
        <v>0</v>
      </c>
      <c r="BI25" s="109">
        <f t="shared" si="20"/>
        <v>0</v>
      </c>
      <c r="BJ25" s="109">
        <f t="shared" si="20"/>
        <v>0</v>
      </c>
      <c r="BK25" s="109">
        <f t="shared" si="20"/>
        <v>0</v>
      </c>
      <c r="BL25" s="109">
        <f t="shared" si="20"/>
        <v>0</v>
      </c>
      <c r="BM25" s="109">
        <f t="shared" si="20"/>
        <v>58091434.99000001</v>
      </c>
      <c r="BN25" s="109">
        <f t="shared" si="20"/>
        <v>0</v>
      </c>
      <c r="BO25" s="109">
        <f t="shared" si="20"/>
        <v>0</v>
      </c>
      <c r="BP25" s="109">
        <f t="shared" si="20"/>
        <v>0</v>
      </c>
      <c r="BQ25" s="109">
        <f t="shared" si="20"/>
        <v>0</v>
      </c>
      <c r="BR25" s="109">
        <f t="shared" ref="BR25:CD25" si="21">SUM(BR4:BR5,BR17:BR24)</f>
        <v>0</v>
      </c>
      <c r="BS25" s="109">
        <f t="shared" si="21"/>
        <v>58091434.99000001</v>
      </c>
      <c r="BT25" s="109">
        <f t="shared" si="21"/>
        <v>0</v>
      </c>
      <c r="BU25" s="109">
        <f t="shared" si="21"/>
        <v>0</v>
      </c>
      <c r="BV25" s="109">
        <f t="shared" si="21"/>
        <v>0</v>
      </c>
      <c r="BW25" s="109">
        <f t="shared" si="21"/>
        <v>0</v>
      </c>
      <c r="BX25" s="109">
        <f t="shared" si="21"/>
        <v>0</v>
      </c>
      <c r="BY25" s="109">
        <f t="shared" si="21"/>
        <v>58091434.99000001</v>
      </c>
      <c r="BZ25" s="109">
        <f t="shared" si="21"/>
        <v>0</v>
      </c>
      <c r="CA25" s="109">
        <f t="shared" si="21"/>
        <v>0</v>
      </c>
      <c r="CB25" s="109">
        <f t="shared" si="21"/>
        <v>0</v>
      </c>
      <c r="CC25" s="109">
        <f t="shared" si="21"/>
        <v>58091434.99000001</v>
      </c>
      <c r="CD25" s="109">
        <f t="shared" si="21"/>
        <v>0</v>
      </c>
      <c r="CE25" s="110"/>
      <c r="CF25" s="110"/>
    </row>
    <row r="26" spans="1:84">
      <c r="A26" s="396" t="s">
        <v>34</v>
      </c>
      <c r="B26" s="397"/>
      <c r="C26" s="397"/>
      <c r="D26" s="397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68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</row>
    <row r="27" spans="1:84">
      <c r="A27" s="12" t="s">
        <v>14</v>
      </c>
      <c r="B27" s="24"/>
      <c r="C27" s="24"/>
      <c r="D27" s="24"/>
      <c r="E27" s="11"/>
      <c r="F27" s="11">
        <v>5354762</v>
      </c>
      <c r="G27" s="11">
        <v>1023004</v>
      </c>
      <c r="H27" s="11"/>
      <c r="I27" s="11"/>
      <c r="J27" s="11"/>
      <c r="K27" s="11"/>
      <c r="L27" s="11">
        <f>SUM(F27-G27+H27-I27+J27)</f>
        <v>4331758</v>
      </c>
      <c r="M27" s="11">
        <v>1247443</v>
      </c>
      <c r="N27" s="11"/>
      <c r="O27" s="11"/>
      <c r="P27" s="11"/>
      <c r="Q27" s="11"/>
      <c r="R27" s="11">
        <f>SUM(L27-M27+N27-O27+P27)</f>
        <v>3084315</v>
      </c>
      <c r="S27" s="11">
        <v>1313113</v>
      </c>
      <c r="T27" s="11"/>
      <c r="U27" s="11"/>
      <c r="V27" s="11"/>
      <c r="W27" s="11"/>
      <c r="X27" s="11">
        <f>SUM(R27-S27+T27-U27+V27)</f>
        <v>1771202</v>
      </c>
      <c r="Y27" s="11">
        <v>518423</v>
      </c>
      <c r="Z27" s="11"/>
      <c r="AA27" s="11"/>
      <c r="AB27" s="11"/>
      <c r="AC27" s="11"/>
      <c r="AD27" s="11">
        <f>SUM(X27-Y27+Z27-AA27+AB27)</f>
        <v>1252779</v>
      </c>
      <c r="AE27" s="11">
        <v>98000</v>
      </c>
      <c r="AF27" s="168"/>
      <c r="AG27" s="11"/>
      <c r="AH27" s="11"/>
      <c r="AI27" s="11"/>
      <c r="AJ27" s="11">
        <f t="shared" ref="AJ27:AJ31" si="22">SUM(AD27-AE27+AF27-AG27+AH27)</f>
        <v>1154779</v>
      </c>
      <c r="AK27" s="11"/>
      <c r="AL27" s="11"/>
      <c r="AM27" s="11"/>
      <c r="AN27" s="11"/>
      <c r="AO27" s="11"/>
      <c r="AP27" s="11">
        <f t="shared" ref="AP27:AP31" si="23">SUM(AJ27-AK27+AL27-AM27+AN27)</f>
        <v>1154779</v>
      </c>
      <c r="AQ27" s="11"/>
      <c r="AR27" s="11"/>
      <c r="AS27" s="11"/>
      <c r="AT27" s="11"/>
      <c r="AU27" s="11"/>
      <c r="AV27" s="11">
        <f>SUM(AP27-AQ27+AR27-AS27+AT27)</f>
        <v>1154779</v>
      </c>
      <c r="AW27" s="11"/>
      <c r="AX27" s="11"/>
      <c r="AY27" s="11"/>
      <c r="AZ27" s="11"/>
      <c r="BA27" s="11"/>
      <c r="BB27" s="11">
        <f t="shared" ref="BB27:BB31" si="24">SUM(AV27-AW27+AX27-AY27+AZ27)</f>
        <v>1154779</v>
      </c>
      <c r="BC27" s="11"/>
      <c r="BD27" s="11"/>
      <c r="BE27" s="11"/>
      <c r="BF27" s="11"/>
      <c r="BG27" s="11"/>
      <c r="BH27" s="11">
        <f t="shared" ref="BH27:BH31" si="25">SUM(BB27-BC27+BD27-BE27+BF27)</f>
        <v>1154779</v>
      </c>
      <c r="BI27" s="11"/>
      <c r="BJ27" s="11"/>
      <c r="BK27" s="11"/>
      <c r="BL27" s="11"/>
      <c r="BM27" s="11"/>
      <c r="BN27" s="11">
        <f t="shared" ref="BN27:BN31" si="26">SUM(BH27-BI27+BJ27-BK27+BL27)</f>
        <v>1154779</v>
      </c>
      <c r="BO27" s="11"/>
      <c r="BP27" s="11"/>
      <c r="BQ27" s="11"/>
      <c r="BR27" s="11"/>
      <c r="BS27" s="11"/>
      <c r="BT27" s="11">
        <f t="shared" ref="BT27:BT31" si="27">SUM(BN27-BO27+BP27-BQ27+BR27)</f>
        <v>1154779</v>
      </c>
      <c r="BU27" s="11"/>
      <c r="BV27" s="11"/>
      <c r="BW27" s="11"/>
      <c r="BX27" s="11"/>
      <c r="BY27" s="11"/>
      <c r="BZ27" s="11">
        <f t="shared" ref="BZ27:BZ31" si="28">SUM(BT27-BU27+BV27-BW27+BX27)</f>
        <v>1154779</v>
      </c>
      <c r="CA27" s="11"/>
      <c r="CB27" s="11"/>
      <c r="CC27" s="11"/>
      <c r="CD27" s="11">
        <f>+BZ27+CB27-BY27-CA27</f>
        <v>1154779</v>
      </c>
    </row>
    <row r="28" spans="1:84">
      <c r="A28" s="12" t="s">
        <v>50</v>
      </c>
      <c r="B28" s="24"/>
      <c r="C28" s="24"/>
      <c r="D28" s="24"/>
      <c r="E28" s="11"/>
      <c r="F28" s="11">
        <v>0</v>
      </c>
      <c r="G28" s="11"/>
      <c r="H28" s="11"/>
      <c r="I28" s="11"/>
      <c r="J28" s="11"/>
      <c r="K28" s="11"/>
      <c r="L28" s="11">
        <f>SUM(F28-G28+H28-I28+J28)</f>
        <v>0</v>
      </c>
      <c r="M28" s="11"/>
      <c r="N28" s="11"/>
      <c r="O28" s="11"/>
      <c r="P28" s="11"/>
      <c r="Q28" s="11"/>
      <c r="R28" s="11">
        <f>SUM(L28-M28+N28-O28+P28)</f>
        <v>0</v>
      </c>
      <c r="S28" s="11"/>
      <c r="T28" s="11"/>
      <c r="U28" s="11"/>
      <c r="V28" s="11"/>
      <c r="W28" s="11"/>
      <c r="X28" s="11">
        <f>SUM(R28-S28+T28-U28+V28)</f>
        <v>0</v>
      </c>
      <c r="Y28" s="11"/>
      <c r="Z28" s="11"/>
      <c r="AA28" s="11"/>
      <c r="AB28" s="11"/>
      <c r="AC28" s="11"/>
      <c r="AD28" s="11">
        <f>SUM(X28-Y28+Z28-AA28+AB28)</f>
        <v>0</v>
      </c>
      <c r="AE28" s="11"/>
      <c r="AF28" s="168"/>
      <c r="AG28" s="11"/>
      <c r="AH28" s="11"/>
      <c r="AI28" s="11"/>
      <c r="AJ28" s="11">
        <f t="shared" si="22"/>
        <v>0</v>
      </c>
      <c r="AK28" s="11"/>
      <c r="AL28" s="11"/>
      <c r="AM28" s="11"/>
      <c r="AN28" s="11"/>
      <c r="AO28" s="11"/>
      <c r="AP28" s="11">
        <f t="shared" si="23"/>
        <v>0</v>
      </c>
      <c r="AQ28" s="11"/>
      <c r="AR28" s="11"/>
      <c r="AS28" s="11"/>
      <c r="AT28" s="11"/>
      <c r="AU28" s="11"/>
      <c r="AV28" s="11">
        <f>SUM(AP28-AQ28+AR28-AS28+AT28)</f>
        <v>0</v>
      </c>
      <c r="AW28" s="11"/>
      <c r="AX28" s="11"/>
      <c r="AY28" s="11"/>
      <c r="AZ28" s="11"/>
      <c r="BA28" s="11"/>
      <c r="BB28" s="11">
        <f t="shared" si="24"/>
        <v>0</v>
      </c>
      <c r="BC28" s="11"/>
      <c r="BD28" s="11"/>
      <c r="BE28" s="11"/>
      <c r="BF28" s="11"/>
      <c r="BG28" s="11"/>
      <c r="BH28" s="11">
        <f t="shared" si="25"/>
        <v>0</v>
      </c>
      <c r="BI28" s="11"/>
      <c r="BJ28" s="11"/>
      <c r="BK28" s="11"/>
      <c r="BL28" s="11"/>
      <c r="BM28" s="11"/>
      <c r="BN28" s="11">
        <f t="shared" si="26"/>
        <v>0</v>
      </c>
      <c r="BO28" s="11"/>
      <c r="BP28" s="11"/>
      <c r="BQ28" s="11"/>
      <c r="BR28" s="11"/>
      <c r="BS28" s="11"/>
      <c r="BT28" s="11">
        <f t="shared" si="27"/>
        <v>0</v>
      </c>
      <c r="BU28" s="11"/>
      <c r="BV28" s="11"/>
      <c r="BW28" s="11"/>
      <c r="BX28" s="11">
        <v>0</v>
      </c>
      <c r="BY28" s="11"/>
      <c r="BZ28" s="11">
        <f t="shared" si="28"/>
        <v>0</v>
      </c>
      <c r="CA28" s="11"/>
      <c r="CB28" s="11"/>
      <c r="CC28" s="11"/>
      <c r="CD28" s="11">
        <f>+CA28-BZ28</f>
        <v>0</v>
      </c>
    </row>
    <row r="29" spans="1:84">
      <c r="A29" s="12"/>
      <c r="B29" s="24"/>
      <c r="C29" s="24"/>
      <c r="D29" s="24"/>
      <c r="E29" s="11"/>
      <c r="F29" s="11">
        <v>0</v>
      </c>
      <c r="G29" s="11"/>
      <c r="H29" s="11"/>
      <c r="I29" s="11"/>
      <c r="J29" s="11"/>
      <c r="K29" s="11"/>
      <c r="L29" s="11">
        <f t="shared" ref="L29:L31" si="29">SUM(F29-G29+H29-I29+J29)</f>
        <v>0</v>
      </c>
      <c r="M29" s="11"/>
      <c r="N29" s="11"/>
      <c r="O29" s="11"/>
      <c r="P29" s="11"/>
      <c r="Q29" s="11"/>
      <c r="R29" s="11">
        <f t="shared" ref="R29:R31" si="30">SUM(L29-M29+N29-O29+P29)</f>
        <v>0</v>
      </c>
      <c r="S29" s="11"/>
      <c r="T29" s="11"/>
      <c r="U29" s="11"/>
      <c r="V29" s="11"/>
      <c r="W29" s="11"/>
      <c r="X29" s="11">
        <f t="shared" ref="X29:X31" si="31">SUM(R29-S29+T29-U29+V29)</f>
        <v>0</v>
      </c>
      <c r="Y29" s="11"/>
      <c r="Z29" s="11"/>
      <c r="AA29" s="11"/>
      <c r="AB29" s="11"/>
      <c r="AC29" s="11"/>
      <c r="AD29" s="11">
        <f t="shared" ref="AD29:AD31" si="32">SUM(X29-Y29+Z29-AA29+AB29)</f>
        <v>0</v>
      </c>
      <c r="AE29" s="11"/>
      <c r="AF29" s="168"/>
      <c r="AG29" s="11"/>
      <c r="AH29" s="11"/>
      <c r="AI29" s="11"/>
      <c r="AJ29" s="11">
        <f t="shared" si="22"/>
        <v>0</v>
      </c>
      <c r="AK29" s="11"/>
      <c r="AL29" s="11"/>
      <c r="AM29" s="11"/>
      <c r="AN29" s="11"/>
      <c r="AO29" s="11"/>
      <c r="AP29" s="11">
        <f t="shared" si="23"/>
        <v>0</v>
      </c>
      <c r="AQ29" s="11"/>
      <c r="AR29" s="11"/>
      <c r="AS29" s="11"/>
      <c r="AT29" s="11"/>
      <c r="AU29" s="11"/>
      <c r="AV29" s="11">
        <f t="shared" ref="AV29:AV31" si="33">SUM(AP29-AQ29+AR29-AS29+AT29)</f>
        <v>0</v>
      </c>
      <c r="AW29" s="11"/>
      <c r="AX29" s="11"/>
      <c r="AY29" s="11"/>
      <c r="AZ29" s="11"/>
      <c r="BA29" s="11"/>
      <c r="BB29" s="11">
        <f t="shared" si="24"/>
        <v>0</v>
      </c>
      <c r="BC29" s="11"/>
      <c r="BD29" s="11"/>
      <c r="BE29" s="11"/>
      <c r="BF29" s="11"/>
      <c r="BG29" s="11"/>
      <c r="BH29" s="11">
        <f t="shared" si="25"/>
        <v>0</v>
      </c>
      <c r="BI29" s="11"/>
      <c r="BJ29" s="11"/>
      <c r="BK29" s="11"/>
      <c r="BL29" s="11"/>
      <c r="BM29" s="11"/>
      <c r="BN29" s="11">
        <f t="shared" si="26"/>
        <v>0</v>
      </c>
      <c r="BO29" s="11"/>
      <c r="BP29" s="11"/>
      <c r="BQ29" s="11"/>
      <c r="BR29" s="11"/>
      <c r="BS29" s="11"/>
      <c r="BT29" s="11">
        <f t="shared" si="27"/>
        <v>0</v>
      </c>
      <c r="BU29" s="11"/>
      <c r="BV29" s="11"/>
      <c r="BW29" s="11"/>
      <c r="BX29" s="11"/>
      <c r="BY29" s="11"/>
      <c r="BZ29" s="11">
        <f t="shared" si="28"/>
        <v>0</v>
      </c>
      <c r="CA29" s="11"/>
      <c r="CB29" s="11"/>
      <c r="CC29" s="11"/>
      <c r="CD29" s="11">
        <f>+BZ29+CB29-BY29-CA29</f>
        <v>0</v>
      </c>
    </row>
    <row r="30" spans="1:84" hidden="1">
      <c r="A30" s="12"/>
      <c r="B30" s="24"/>
      <c r="C30" s="24"/>
      <c r="D30" s="24"/>
      <c r="E30" s="11"/>
      <c r="F30" s="11"/>
      <c r="G30" s="11"/>
      <c r="H30" s="11"/>
      <c r="I30" s="11"/>
      <c r="J30" s="11"/>
      <c r="K30" s="11"/>
      <c r="L30" s="11">
        <f t="shared" si="29"/>
        <v>0</v>
      </c>
      <c r="M30" s="11"/>
      <c r="N30" s="11"/>
      <c r="O30" s="11"/>
      <c r="P30" s="11"/>
      <c r="Q30" s="11"/>
      <c r="R30" s="11">
        <f t="shared" si="30"/>
        <v>0</v>
      </c>
      <c r="S30" s="11"/>
      <c r="T30" s="11"/>
      <c r="U30" s="11"/>
      <c r="V30" s="11"/>
      <c r="W30" s="11"/>
      <c r="X30" s="11">
        <f t="shared" si="31"/>
        <v>0</v>
      </c>
      <c r="Y30" s="11"/>
      <c r="Z30" s="11"/>
      <c r="AA30" s="11"/>
      <c r="AB30" s="11"/>
      <c r="AC30" s="11"/>
      <c r="AD30" s="11">
        <f t="shared" si="32"/>
        <v>0</v>
      </c>
      <c r="AE30" s="11"/>
      <c r="AF30" s="168"/>
      <c r="AG30" s="11"/>
      <c r="AH30" s="11"/>
      <c r="AI30" s="11"/>
      <c r="AJ30" s="11">
        <f t="shared" si="22"/>
        <v>0</v>
      </c>
      <c r="AK30" s="11"/>
      <c r="AL30" s="11"/>
      <c r="AM30" s="11"/>
      <c r="AN30" s="11"/>
      <c r="AO30" s="11"/>
      <c r="AP30" s="11">
        <f t="shared" si="23"/>
        <v>0</v>
      </c>
      <c r="AQ30" s="11"/>
      <c r="AR30" s="11"/>
      <c r="AS30" s="11"/>
      <c r="AT30" s="11"/>
      <c r="AU30" s="11"/>
      <c r="AV30" s="11">
        <f t="shared" si="33"/>
        <v>0</v>
      </c>
      <c r="AW30" s="11"/>
      <c r="AX30" s="11"/>
      <c r="AY30" s="11"/>
      <c r="AZ30" s="11"/>
      <c r="BA30" s="11"/>
      <c r="BB30" s="11">
        <f t="shared" si="24"/>
        <v>0</v>
      </c>
      <c r="BC30" s="11"/>
      <c r="BD30" s="11"/>
      <c r="BE30" s="11"/>
      <c r="BF30" s="11"/>
      <c r="BG30" s="11"/>
      <c r="BH30" s="11">
        <f t="shared" si="25"/>
        <v>0</v>
      </c>
      <c r="BI30" s="11"/>
      <c r="BJ30" s="11"/>
      <c r="BK30" s="11"/>
      <c r="BL30" s="11"/>
      <c r="BM30" s="11"/>
      <c r="BN30" s="11">
        <f t="shared" si="26"/>
        <v>0</v>
      </c>
      <c r="BO30" s="11"/>
      <c r="BP30" s="11"/>
      <c r="BQ30" s="11"/>
      <c r="BR30" s="11"/>
      <c r="BS30" s="11"/>
      <c r="BT30" s="11">
        <f t="shared" si="27"/>
        <v>0</v>
      </c>
      <c r="BU30" s="11"/>
      <c r="BV30" s="11"/>
      <c r="BW30" s="11"/>
      <c r="BX30" s="11"/>
      <c r="BY30" s="11"/>
      <c r="BZ30" s="11">
        <f t="shared" si="28"/>
        <v>0</v>
      </c>
      <c r="CA30" s="11"/>
      <c r="CB30" s="11"/>
      <c r="CC30" s="11"/>
      <c r="CD30" s="11">
        <f>SUM(BX30-BY30+BZ30-CA30+CB30)</f>
        <v>0</v>
      </c>
    </row>
    <row r="31" spans="1:84" hidden="1">
      <c r="A31" s="12"/>
      <c r="B31" s="24"/>
      <c r="C31" s="24"/>
      <c r="D31" s="24"/>
      <c r="E31" s="11"/>
      <c r="F31" s="11"/>
      <c r="G31" s="11"/>
      <c r="H31" s="11"/>
      <c r="I31" s="11"/>
      <c r="J31" s="11"/>
      <c r="K31" s="11"/>
      <c r="L31" s="11">
        <f t="shared" si="29"/>
        <v>0</v>
      </c>
      <c r="M31" s="11"/>
      <c r="N31" s="11"/>
      <c r="O31" s="11"/>
      <c r="P31" s="11"/>
      <c r="Q31" s="11"/>
      <c r="R31" s="11">
        <f t="shared" si="30"/>
        <v>0</v>
      </c>
      <c r="S31" s="11"/>
      <c r="T31" s="11"/>
      <c r="U31" s="11"/>
      <c r="V31" s="11"/>
      <c r="W31" s="11"/>
      <c r="X31" s="11">
        <f t="shared" si="31"/>
        <v>0</v>
      </c>
      <c r="Y31" s="11"/>
      <c r="Z31" s="11"/>
      <c r="AA31" s="11"/>
      <c r="AB31" s="11"/>
      <c r="AC31" s="11"/>
      <c r="AD31" s="11">
        <f t="shared" si="32"/>
        <v>0</v>
      </c>
      <c r="AE31" s="11"/>
      <c r="AF31" s="168"/>
      <c r="AG31" s="11"/>
      <c r="AH31" s="11"/>
      <c r="AI31" s="11"/>
      <c r="AJ31" s="11">
        <f t="shared" si="22"/>
        <v>0</v>
      </c>
      <c r="AK31" s="11"/>
      <c r="AL31" s="11"/>
      <c r="AM31" s="11"/>
      <c r="AN31" s="11"/>
      <c r="AO31" s="11"/>
      <c r="AP31" s="11">
        <f t="shared" si="23"/>
        <v>0</v>
      </c>
      <c r="AQ31" s="11"/>
      <c r="AR31" s="11"/>
      <c r="AS31" s="11"/>
      <c r="AT31" s="11"/>
      <c r="AU31" s="11"/>
      <c r="AV31" s="11">
        <f t="shared" si="33"/>
        <v>0</v>
      </c>
      <c r="AW31" s="11"/>
      <c r="AX31" s="11"/>
      <c r="AY31" s="11"/>
      <c r="AZ31" s="11"/>
      <c r="BA31" s="11"/>
      <c r="BB31" s="11">
        <f t="shared" si="24"/>
        <v>0</v>
      </c>
      <c r="BC31" s="11"/>
      <c r="BD31" s="11"/>
      <c r="BE31" s="11"/>
      <c r="BF31" s="11"/>
      <c r="BG31" s="11"/>
      <c r="BH31" s="11">
        <f t="shared" si="25"/>
        <v>0</v>
      </c>
      <c r="BI31" s="11"/>
      <c r="BJ31" s="11"/>
      <c r="BK31" s="11"/>
      <c r="BL31" s="11"/>
      <c r="BM31" s="11"/>
      <c r="BN31" s="11">
        <f t="shared" si="26"/>
        <v>0</v>
      </c>
      <c r="BO31" s="11"/>
      <c r="BP31" s="11"/>
      <c r="BQ31" s="11"/>
      <c r="BR31" s="11"/>
      <c r="BS31" s="11"/>
      <c r="BT31" s="11">
        <f t="shared" si="27"/>
        <v>0</v>
      </c>
      <c r="BU31" s="11"/>
      <c r="BV31" s="11"/>
      <c r="BW31" s="11"/>
      <c r="BX31" s="11"/>
      <c r="BY31" s="11"/>
      <c r="BZ31" s="11">
        <f t="shared" si="28"/>
        <v>0</v>
      </c>
      <c r="CA31" s="11"/>
      <c r="CB31" s="11"/>
      <c r="CC31" s="11"/>
      <c r="CD31" s="11">
        <f>SUM(BX31-BY31+BZ31-CA31+CB31)</f>
        <v>0</v>
      </c>
    </row>
    <row r="32" spans="1:84" s="27" customFormat="1">
      <c r="A32" s="43" t="s">
        <v>67</v>
      </c>
      <c r="B32" s="25"/>
      <c r="C32" s="25"/>
      <c r="D32" s="25"/>
      <c r="E32" s="9">
        <f>SUM(E33:E40)</f>
        <v>0</v>
      </c>
      <c r="F32" s="9">
        <f>SUM(F33:F45)</f>
        <v>1306886.3600000001</v>
      </c>
      <c r="G32" s="9">
        <f t="shared" ref="G32:BR32" si="34">SUM(G33:G45)</f>
        <v>297485.61</v>
      </c>
      <c r="H32" s="9">
        <f>SUM(H33:H45)</f>
        <v>107120.15000000001</v>
      </c>
      <c r="I32" s="9">
        <f t="shared" si="34"/>
        <v>0</v>
      </c>
      <c r="J32" s="9">
        <f t="shared" si="34"/>
        <v>0</v>
      </c>
      <c r="K32" s="9">
        <f t="shared" si="34"/>
        <v>0</v>
      </c>
      <c r="L32" s="9">
        <f>SUM(L33:L45)</f>
        <v>1116520.8999999999</v>
      </c>
      <c r="M32" s="9">
        <f>SUM(M33:M45)</f>
        <v>16747.190000000002</v>
      </c>
      <c r="N32" s="9">
        <f>SUM(N33:N45)</f>
        <v>19596.849999999999</v>
      </c>
      <c r="O32" s="9">
        <f t="shared" si="34"/>
        <v>0</v>
      </c>
      <c r="P32" s="9">
        <f t="shared" si="34"/>
        <v>0</v>
      </c>
      <c r="Q32" s="9">
        <f t="shared" si="34"/>
        <v>0</v>
      </c>
      <c r="R32" s="9">
        <f>SUM(R33:R45)</f>
        <v>1119370.56</v>
      </c>
      <c r="S32" s="9">
        <f t="shared" si="34"/>
        <v>26076.85</v>
      </c>
      <c r="T32" s="9">
        <f t="shared" si="34"/>
        <v>63665.01</v>
      </c>
      <c r="U32" s="9">
        <f t="shared" si="34"/>
        <v>0</v>
      </c>
      <c r="V32" s="9">
        <f t="shared" si="34"/>
        <v>0</v>
      </c>
      <c r="W32" s="9">
        <f t="shared" si="34"/>
        <v>0</v>
      </c>
      <c r="X32" s="9">
        <f>SUM(X33:X45)</f>
        <v>1156958.7200000002</v>
      </c>
      <c r="Y32" s="9">
        <f t="shared" si="34"/>
        <v>60731.01</v>
      </c>
      <c r="Z32" s="9">
        <f t="shared" si="34"/>
        <v>126517.97</v>
      </c>
      <c r="AA32" s="9">
        <f t="shared" si="34"/>
        <v>0</v>
      </c>
      <c r="AB32" s="9">
        <f t="shared" si="34"/>
        <v>0.02</v>
      </c>
      <c r="AC32" s="9">
        <f t="shared" si="34"/>
        <v>0</v>
      </c>
      <c r="AD32" s="9">
        <f>SUM(AD33:AD45)</f>
        <v>1222745.7000000002</v>
      </c>
      <c r="AE32" s="9">
        <f t="shared" si="34"/>
        <v>48261.369999999995</v>
      </c>
      <c r="AF32" s="9">
        <f t="shared" si="34"/>
        <v>140459.04999999999</v>
      </c>
      <c r="AG32" s="9">
        <f t="shared" si="34"/>
        <v>72403.61</v>
      </c>
      <c r="AH32" s="9">
        <f t="shared" si="34"/>
        <v>0</v>
      </c>
      <c r="AI32" s="9">
        <f t="shared" si="34"/>
        <v>0</v>
      </c>
      <c r="AJ32" s="9">
        <f>SUM(AJ33:AJ45)</f>
        <v>1242539.77</v>
      </c>
      <c r="AK32" s="9">
        <f t="shared" si="34"/>
        <v>0</v>
      </c>
      <c r="AL32" s="9">
        <f t="shared" si="34"/>
        <v>0</v>
      </c>
      <c r="AM32" s="9">
        <f t="shared" si="34"/>
        <v>0</v>
      </c>
      <c r="AN32" s="9">
        <f t="shared" si="34"/>
        <v>0</v>
      </c>
      <c r="AO32" s="9">
        <f t="shared" si="34"/>
        <v>0</v>
      </c>
      <c r="AP32" s="9">
        <f t="shared" si="34"/>
        <v>1242539.77</v>
      </c>
      <c r="AQ32" s="9">
        <f t="shared" si="34"/>
        <v>0</v>
      </c>
      <c r="AR32" s="9">
        <f t="shared" si="34"/>
        <v>0</v>
      </c>
      <c r="AS32" s="9">
        <f t="shared" si="34"/>
        <v>0</v>
      </c>
      <c r="AT32" s="9">
        <f t="shared" si="34"/>
        <v>0</v>
      </c>
      <c r="AU32" s="9">
        <f t="shared" si="34"/>
        <v>0</v>
      </c>
      <c r="AV32" s="9">
        <f t="shared" si="34"/>
        <v>1242539.77</v>
      </c>
      <c r="AW32" s="9">
        <f t="shared" si="34"/>
        <v>0</v>
      </c>
      <c r="AX32" s="9">
        <f t="shared" si="34"/>
        <v>0</v>
      </c>
      <c r="AY32" s="9">
        <f t="shared" si="34"/>
        <v>0</v>
      </c>
      <c r="AZ32" s="9">
        <f t="shared" si="34"/>
        <v>0</v>
      </c>
      <c r="BA32" s="9">
        <f t="shared" si="34"/>
        <v>0</v>
      </c>
      <c r="BB32" s="9">
        <f t="shared" si="34"/>
        <v>1242539.77</v>
      </c>
      <c r="BC32" s="9">
        <f t="shared" si="34"/>
        <v>0</v>
      </c>
      <c r="BD32" s="9">
        <f t="shared" si="34"/>
        <v>0</v>
      </c>
      <c r="BE32" s="9">
        <f t="shared" si="34"/>
        <v>0</v>
      </c>
      <c r="BF32" s="9">
        <f t="shared" si="34"/>
        <v>0</v>
      </c>
      <c r="BG32" s="9">
        <f t="shared" si="34"/>
        <v>0</v>
      </c>
      <c r="BH32" s="9">
        <f t="shared" si="34"/>
        <v>1242539.77</v>
      </c>
      <c r="BI32" s="9">
        <f t="shared" si="34"/>
        <v>0</v>
      </c>
      <c r="BJ32" s="9">
        <f t="shared" si="34"/>
        <v>0</v>
      </c>
      <c r="BK32" s="9">
        <f t="shared" si="34"/>
        <v>0</v>
      </c>
      <c r="BL32" s="9">
        <f t="shared" si="34"/>
        <v>0</v>
      </c>
      <c r="BM32" s="9">
        <f t="shared" si="34"/>
        <v>0</v>
      </c>
      <c r="BN32" s="9">
        <f t="shared" si="34"/>
        <v>1242539.77</v>
      </c>
      <c r="BO32" s="9">
        <f t="shared" si="34"/>
        <v>0</v>
      </c>
      <c r="BP32" s="9">
        <f t="shared" si="34"/>
        <v>0</v>
      </c>
      <c r="BQ32" s="9">
        <f t="shared" si="34"/>
        <v>0</v>
      </c>
      <c r="BR32" s="9">
        <f t="shared" si="34"/>
        <v>0</v>
      </c>
      <c r="BS32" s="9">
        <f t="shared" ref="BS32:CD32" si="35">SUM(BS33:BS45)</f>
        <v>0</v>
      </c>
      <c r="BT32" s="9">
        <f t="shared" si="35"/>
        <v>1242539.77</v>
      </c>
      <c r="BU32" s="9">
        <f t="shared" si="35"/>
        <v>0</v>
      </c>
      <c r="BV32" s="9">
        <f t="shared" si="35"/>
        <v>0</v>
      </c>
      <c r="BW32" s="9">
        <f t="shared" si="35"/>
        <v>0</v>
      </c>
      <c r="BX32" s="9">
        <f t="shared" si="35"/>
        <v>0</v>
      </c>
      <c r="BY32" s="9">
        <f t="shared" si="35"/>
        <v>0</v>
      </c>
      <c r="BZ32" s="9">
        <f t="shared" si="35"/>
        <v>1242539.77</v>
      </c>
      <c r="CA32" s="9">
        <f t="shared" si="35"/>
        <v>0</v>
      </c>
      <c r="CB32" s="9">
        <f t="shared" si="35"/>
        <v>0</v>
      </c>
      <c r="CC32" s="9">
        <f t="shared" si="35"/>
        <v>0</v>
      </c>
      <c r="CD32" s="9">
        <f t="shared" si="35"/>
        <v>1242539.77</v>
      </c>
      <c r="CE32" s="84"/>
      <c r="CF32" s="84"/>
    </row>
    <row r="33" spans="1:84">
      <c r="A33" s="31"/>
      <c r="B33" s="40" t="s">
        <v>26</v>
      </c>
      <c r="C33" s="40"/>
      <c r="D33" s="40"/>
      <c r="E33" s="33"/>
      <c r="F33" s="33">
        <v>9023.61</v>
      </c>
      <c r="G33" s="33">
        <v>9023.61</v>
      </c>
      <c r="H33" s="33">
        <v>11632.19</v>
      </c>
      <c r="I33" s="33"/>
      <c r="J33" s="33"/>
      <c r="K33" s="33"/>
      <c r="L33" s="13">
        <f>+F33+H33-G33+J33-I33</f>
        <v>11632.190000000002</v>
      </c>
      <c r="M33" s="33">
        <v>11632.19</v>
      </c>
      <c r="N33" s="33">
        <v>16064.85</v>
      </c>
      <c r="O33" s="33"/>
      <c r="P33" s="33"/>
      <c r="Q33" s="33"/>
      <c r="R33" s="33">
        <f t="shared" ref="R33:R39" si="36">SUM(L33-M33+N33-O33+P33)</f>
        <v>16064.850000000002</v>
      </c>
      <c r="S33" s="33">
        <v>16064.85</v>
      </c>
      <c r="T33" s="33">
        <v>12441.01</v>
      </c>
      <c r="U33" s="33"/>
      <c r="V33" s="33"/>
      <c r="W33" s="33"/>
      <c r="X33" s="33">
        <f t="shared" ref="X33:X46" si="37">SUM(R33-S33+T33-U33+V33)</f>
        <v>12441.010000000002</v>
      </c>
      <c r="Y33" s="33">
        <v>12441.01</v>
      </c>
      <c r="Z33" s="33">
        <v>6415.87</v>
      </c>
      <c r="AA33" s="33"/>
      <c r="AB33" s="33"/>
      <c r="AC33" s="33"/>
      <c r="AD33" s="33">
        <f t="shared" ref="AD33:AD41" si="38">SUM(X33-Y33+Z33-AA33+AB33)</f>
        <v>6415.8700000000017</v>
      </c>
      <c r="AE33" s="33">
        <v>6415.87</v>
      </c>
      <c r="AF33" s="33">
        <v>16622.330000000002</v>
      </c>
      <c r="AG33" s="33"/>
      <c r="AH33" s="33"/>
      <c r="AI33" s="33"/>
      <c r="AJ33" s="33">
        <f t="shared" ref="AJ33:AJ49" si="39">SUM(AD33-AE33+AF33-AG33+AH33)</f>
        <v>16622.330000000002</v>
      </c>
      <c r="AK33" s="33"/>
      <c r="AL33" s="33"/>
      <c r="AM33" s="33"/>
      <c r="AN33" s="33"/>
      <c r="AO33" s="33"/>
      <c r="AP33" s="33">
        <f t="shared" ref="AP33:AP49" si="40">SUM(AJ33-AK33+AL33-AM33+AN33)</f>
        <v>16622.330000000002</v>
      </c>
      <c r="AQ33" s="33"/>
      <c r="AR33" s="33"/>
      <c r="AS33" s="33"/>
      <c r="AT33" s="33"/>
      <c r="AU33" s="33"/>
      <c r="AV33" s="33">
        <f t="shared" ref="AV33:AV49" si="41">SUM(AP33-AQ33+AR33-AS33+AT33)</f>
        <v>16622.330000000002</v>
      </c>
      <c r="AW33" s="33"/>
      <c r="AX33" s="33"/>
      <c r="AY33" s="33"/>
      <c r="AZ33" s="33"/>
      <c r="BA33" s="33"/>
      <c r="BB33" s="33">
        <f t="shared" ref="BB33:BB46" si="42">SUM(AV33-AW33+AX33-AY33+AZ33)</f>
        <v>16622.330000000002</v>
      </c>
      <c r="BC33" s="33"/>
      <c r="BD33" s="33"/>
      <c r="BE33" s="33"/>
      <c r="BF33" s="33"/>
      <c r="BG33" s="33"/>
      <c r="BH33" s="33">
        <f t="shared" ref="BH33:BH46" si="43">SUM(BB33-BC33+BD33-BE33+BF33)</f>
        <v>16622.330000000002</v>
      </c>
      <c r="BI33" s="33"/>
      <c r="BJ33" s="33"/>
      <c r="BK33" s="33"/>
      <c r="BL33" s="33"/>
      <c r="BM33" s="33"/>
      <c r="BN33" s="33">
        <f t="shared" ref="BN33:BN46" si="44">SUM(BH33-BI33+BJ33-BK33+BL33)</f>
        <v>16622.330000000002</v>
      </c>
      <c r="BO33" s="33"/>
      <c r="BP33" s="33"/>
      <c r="BQ33" s="33"/>
      <c r="BR33" s="33"/>
      <c r="BS33" s="33"/>
      <c r="BT33" s="33">
        <f t="shared" ref="BT33:BT49" si="45">SUM(BN33-BO33+BP33-BQ33+BR33)</f>
        <v>16622.330000000002</v>
      </c>
      <c r="BU33" s="33"/>
      <c r="BV33" s="33"/>
      <c r="BW33" s="33"/>
      <c r="BX33" s="33"/>
      <c r="BY33" s="33"/>
      <c r="BZ33" s="33">
        <f t="shared" ref="BZ33:BZ47" si="46">SUM(BT33-BU33+BV33-BW33+BX33)</f>
        <v>16622.330000000002</v>
      </c>
      <c r="CA33" s="33"/>
      <c r="CB33" s="33"/>
      <c r="CC33" s="33"/>
      <c r="CD33" s="13">
        <f t="shared" ref="CD33:CD39" si="47">+BZ33+CA33-CB33</f>
        <v>16622.330000000002</v>
      </c>
    </row>
    <row r="34" spans="1:84">
      <c r="A34" s="41"/>
      <c r="B34" s="42" t="s">
        <v>68</v>
      </c>
      <c r="C34" s="42"/>
      <c r="D34" s="42"/>
      <c r="E34" s="36"/>
      <c r="F34" s="36">
        <v>5755.16</v>
      </c>
      <c r="G34" s="36"/>
      <c r="H34" s="36"/>
      <c r="I34" s="36"/>
      <c r="J34" s="36"/>
      <c r="K34" s="36"/>
      <c r="L34" s="36">
        <f t="shared" ref="L34:L43" si="48">+F34+H34-G34+J34-I34</f>
        <v>5755.16</v>
      </c>
      <c r="M34" s="36">
        <v>0</v>
      </c>
      <c r="N34" s="36"/>
      <c r="O34" s="36"/>
      <c r="P34" s="36"/>
      <c r="Q34" s="36"/>
      <c r="R34" s="36">
        <f t="shared" si="36"/>
        <v>5755.16</v>
      </c>
      <c r="S34" s="36"/>
      <c r="T34" s="36"/>
      <c r="U34" s="36"/>
      <c r="V34" s="36"/>
      <c r="W34" s="36"/>
      <c r="X34" s="36">
        <f t="shared" si="37"/>
        <v>5755.16</v>
      </c>
      <c r="Y34" s="36"/>
      <c r="Z34" s="36">
        <v>66.099999999999994</v>
      </c>
      <c r="AA34" s="36"/>
      <c r="AB34" s="36">
        <v>0.02</v>
      </c>
      <c r="AC34" s="36"/>
      <c r="AD34" s="36">
        <f t="shared" si="38"/>
        <v>5821.2800000000007</v>
      </c>
      <c r="AE34" s="36"/>
      <c r="AF34" s="36">
        <v>376.22</v>
      </c>
      <c r="AG34" s="36"/>
      <c r="AH34" s="36"/>
      <c r="AI34" s="36"/>
      <c r="AJ34" s="36">
        <f t="shared" si="39"/>
        <v>6197.5000000000009</v>
      </c>
      <c r="AK34" s="36"/>
      <c r="AL34" s="36"/>
      <c r="AM34" s="36"/>
      <c r="AN34" s="36"/>
      <c r="AO34" s="36"/>
      <c r="AP34" s="36">
        <f t="shared" si="40"/>
        <v>6197.5000000000009</v>
      </c>
      <c r="AQ34" s="36"/>
      <c r="AR34" s="36"/>
      <c r="AS34" s="36"/>
      <c r="AT34" s="36"/>
      <c r="AU34" s="36"/>
      <c r="AV34" s="36">
        <f t="shared" si="41"/>
        <v>6197.5000000000009</v>
      </c>
      <c r="AW34" s="36"/>
      <c r="AX34" s="36"/>
      <c r="AY34" s="36"/>
      <c r="AZ34" s="36"/>
      <c r="BA34" s="36"/>
      <c r="BB34" s="36">
        <f t="shared" si="42"/>
        <v>6197.5000000000009</v>
      </c>
      <c r="BC34" s="36"/>
      <c r="BD34" s="36"/>
      <c r="BE34" s="36"/>
      <c r="BF34" s="36"/>
      <c r="BG34" s="36"/>
      <c r="BH34" s="36">
        <f t="shared" si="43"/>
        <v>6197.5000000000009</v>
      </c>
      <c r="BI34" s="36"/>
      <c r="BJ34" s="36"/>
      <c r="BK34" s="36"/>
      <c r="BL34" s="36"/>
      <c r="BM34" s="36"/>
      <c r="BN34" s="36">
        <f t="shared" si="44"/>
        <v>6197.5000000000009</v>
      </c>
      <c r="BO34" s="36"/>
      <c r="BP34" s="36"/>
      <c r="BQ34" s="36"/>
      <c r="BR34" s="36"/>
      <c r="BS34" s="36"/>
      <c r="BT34" s="36">
        <f t="shared" si="45"/>
        <v>6197.5000000000009</v>
      </c>
      <c r="BU34" s="36"/>
      <c r="BV34" s="36"/>
      <c r="BW34" s="36"/>
      <c r="BX34" s="36"/>
      <c r="BY34" s="36"/>
      <c r="BZ34" s="36">
        <f t="shared" si="46"/>
        <v>6197.5000000000009</v>
      </c>
      <c r="CA34" s="36"/>
      <c r="CB34" s="36"/>
      <c r="CC34" s="36"/>
      <c r="CD34" s="36">
        <f t="shared" si="47"/>
        <v>6197.5000000000009</v>
      </c>
    </row>
    <row r="35" spans="1:84">
      <c r="A35" s="41"/>
      <c r="B35" s="406" t="s">
        <v>339</v>
      </c>
      <c r="C35" s="406"/>
      <c r="D35" s="407"/>
      <c r="E35" s="36"/>
      <c r="F35" s="36">
        <v>0</v>
      </c>
      <c r="G35" s="36"/>
      <c r="H35" s="36"/>
      <c r="I35" s="36"/>
      <c r="J35" s="36"/>
      <c r="K35" s="36"/>
      <c r="L35" s="36">
        <f t="shared" si="48"/>
        <v>0</v>
      </c>
      <c r="M35" s="36">
        <v>0</v>
      </c>
      <c r="N35" s="36"/>
      <c r="O35" s="36"/>
      <c r="P35" s="36"/>
      <c r="Q35" s="36"/>
      <c r="R35" s="36">
        <f t="shared" si="36"/>
        <v>0</v>
      </c>
      <c r="S35" s="36"/>
      <c r="T35" s="36"/>
      <c r="U35" s="36"/>
      <c r="V35" s="36"/>
      <c r="W35" s="36"/>
      <c r="X35" s="36">
        <f t="shared" si="37"/>
        <v>0</v>
      </c>
      <c r="Y35" s="36"/>
      <c r="Z35" s="36"/>
      <c r="AA35" s="36"/>
      <c r="AB35" s="36"/>
      <c r="AC35" s="36"/>
      <c r="AD35" s="36">
        <f t="shared" si="38"/>
        <v>0</v>
      </c>
      <c r="AE35" s="36"/>
      <c r="AF35" s="36"/>
      <c r="AG35" s="36"/>
      <c r="AH35" s="36"/>
      <c r="AI35" s="36"/>
      <c r="AJ35" s="36">
        <f t="shared" si="39"/>
        <v>0</v>
      </c>
      <c r="AK35" s="36"/>
      <c r="AL35" s="36"/>
      <c r="AM35" s="36"/>
      <c r="AN35" s="36"/>
      <c r="AO35" s="36"/>
      <c r="AP35" s="36">
        <f t="shared" si="40"/>
        <v>0</v>
      </c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>
        <f t="shared" si="43"/>
        <v>0</v>
      </c>
      <c r="BI35" s="36"/>
      <c r="BJ35" s="36"/>
      <c r="BK35" s="36"/>
      <c r="BL35" s="36"/>
      <c r="BM35" s="36"/>
      <c r="BN35" s="36">
        <f t="shared" si="44"/>
        <v>0</v>
      </c>
      <c r="BO35" s="36"/>
      <c r="BP35" s="36"/>
      <c r="BQ35" s="36"/>
      <c r="BR35" s="36"/>
      <c r="BS35" s="36"/>
      <c r="BT35" s="36">
        <f t="shared" si="45"/>
        <v>0</v>
      </c>
      <c r="BU35" s="36"/>
      <c r="BV35" s="36"/>
      <c r="BW35" s="36"/>
      <c r="BX35" s="36"/>
      <c r="BY35" s="36"/>
      <c r="BZ35" s="36">
        <f t="shared" si="46"/>
        <v>0</v>
      </c>
      <c r="CA35" s="36"/>
      <c r="CB35" s="36"/>
      <c r="CC35" s="36"/>
      <c r="CD35" s="36">
        <f t="shared" si="47"/>
        <v>0</v>
      </c>
    </row>
    <row r="36" spans="1:84">
      <c r="A36" s="41"/>
      <c r="B36" s="42" t="s">
        <v>27</v>
      </c>
      <c r="C36" s="42"/>
      <c r="D36" s="42"/>
      <c r="E36" s="36"/>
      <c r="F36" s="36">
        <v>743904</v>
      </c>
      <c r="G36" s="36">
        <v>66910</v>
      </c>
      <c r="H36" s="36">
        <v>87938</v>
      </c>
      <c r="I36" s="36"/>
      <c r="J36" s="36"/>
      <c r="K36" s="36"/>
      <c r="L36" s="36">
        <f>+F36+H36-G36+J36-I36</f>
        <v>764932</v>
      </c>
      <c r="M36" s="36">
        <v>1583</v>
      </c>
      <c r="N36" s="36"/>
      <c r="O36" s="36"/>
      <c r="P36" s="36"/>
      <c r="Q36" s="36"/>
      <c r="R36" s="36">
        <f t="shared" si="36"/>
        <v>763349</v>
      </c>
      <c r="S36" s="36">
        <v>6460</v>
      </c>
      <c r="T36" s="36">
        <v>26672</v>
      </c>
      <c r="U36" s="36"/>
      <c r="V36" s="36"/>
      <c r="W36" s="36"/>
      <c r="X36" s="36">
        <f t="shared" si="37"/>
        <v>783561</v>
      </c>
      <c r="Y36" s="36">
        <v>48290</v>
      </c>
      <c r="Z36" s="36">
        <v>101499</v>
      </c>
      <c r="AA36" s="36"/>
      <c r="AB36" s="36"/>
      <c r="AC36" s="36"/>
      <c r="AD36" s="36">
        <f t="shared" si="38"/>
        <v>836770</v>
      </c>
      <c r="AE36" s="36">
        <v>9978</v>
      </c>
      <c r="AF36" s="36">
        <v>92175</v>
      </c>
      <c r="AG36" s="36"/>
      <c r="AH36" s="36"/>
      <c r="AI36" s="36"/>
      <c r="AJ36" s="36">
        <f t="shared" si="39"/>
        <v>918967</v>
      </c>
      <c r="AK36" s="36"/>
      <c r="AL36" s="36"/>
      <c r="AM36" s="36"/>
      <c r="AN36" s="36"/>
      <c r="AO36" s="36"/>
      <c r="AP36" s="36">
        <f t="shared" si="40"/>
        <v>918967</v>
      </c>
      <c r="AQ36" s="36"/>
      <c r="AR36" s="36"/>
      <c r="AS36" s="36"/>
      <c r="AT36" s="36"/>
      <c r="AU36" s="36"/>
      <c r="AV36" s="36">
        <f t="shared" si="41"/>
        <v>918967</v>
      </c>
      <c r="AW36" s="36"/>
      <c r="AX36" s="36"/>
      <c r="AY36" s="36"/>
      <c r="AZ36" s="36"/>
      <c r="BA36" s="36"/>
      <c r="BB36" s="36">
        <f t="shared" si="42"/>
        <v>918967</v>
      </c>
      <c r="BC36" s="36"/>
      <c r="BD36" s="36"/>
      <c r="BE36" s="36"/>
      <c r="BF36" s="36"/>
      <c r="BG36" s="36"/>
      <c r="BH36" s="36">
        <f t="shared" si="43"/>
        <v>918967</v>
      </c>
      <c r="BI36" s="36"/>
      <c r="BJ36" s="36"/>
      <c r="BK36" s="36"/>
      <c r="BL36" s="36"/>
      <c r="BM36" s="36"/>
      <c r="BN36" s="36">
        <f t="shared" si="44"/>
        <v>918967</v>
      </c>
      <c r="BO36" s="36"/>
      <c r="BP36" s="36"/>
      <c r="BQ36" s="36"/>
      <c r="BR36" s="36"/>
      <c r="BS36" s="36"/>
      <c r="BT36" s="36">
        <f t="shared" si="45"/>
        <v>918967</v>
      </c>
      <c r="BU36" s="36"/>
      <c r="BV36" s="36"/>
      <c r="BW36" s="36"/>
      <c r="BX36" s="36"/>
      <c r="BY36" s="36"/>
      <c r="BZ36" s="36">
        <f t="shared" si="46"/>
        <v>918967</v>
      </c>
      <c r="CA36" s="36"/>
      <c r="CB36" s="36"/>
      <c r="CC36" s="36"/>
      <c r="CD36" s="36">
        <f t="shared" si="47"/>
        <v>918967</v>
      </c>
    </row>
    <row r="37" spans="1:84">
      <c r="A37" s="41"/>
      <c r="B37" s="42" t="s">
        <v>69</v>
      </c>
      <c r="C37" s="42"/>
      <c r="D37" s="42"/>
      <c r="E37" s="36"/>
      <c r="F37" s="36">
        <v>56100</v>
      </c>
      <c r="G37" s="36"/>
      <c r="H37" s="36"/>
      <c r="I37" s="36"/>
      <c r="J37" s="36"/>
      <c r="K37" s="36"/>
      <c r="L37" s="36">
        <f t="shared" si="48"/>
        <v>56100</v>
      </c>
      <c r="M37" s="36">
        <v>0</v>
      </c>
      <c r="N37" s="36"/>
      <c r="O37" s="36"/>
      <c r="P37" s="36"/>
      <c r="Q37" s="36"/>
      <c r="R37" s="36">
        <f t="shared" si="36"/>
        <v>56100</v>
      </c>
      <c r="S37" s="36"/>
      <c r="T37" s="36">
        <v>21000</v>
      </c>
      <c r="U37" s="36"/>
      <c r="V37" s="36"/>
      <c r="W37" s="36"/>
      <c r="X37" s="36">
        <f t="shared" si="37"/>
        <v>77100</v>
      </c>
      <c r="Y37" s="36"/>
      <c r="Z37" s="36"/>
      <c r="AA37" s="36"/>
      <c r="AB37" s="36"/>
      <c r="AC37" s="36"/>
      <c r="AD37" s="36">
        <f t="shared" si="38"/>
        <v>77100</v>
      </c>
      <c r="AE37" s="36"/>
      <c r="AF37" s="171"/>
      <c r="AG37" s="36"/>
      <c r="AH37" s="36"/>
      <c r="AI37" s="36"/>
      <c r="AJ37" s="36">
        <f t="shared" si="39"/>
        <v>77100</v>
      </c>
      <c r="AK37" s="36"/>
      <c r="AL37" s="36"/>
      <c r="AM37" s="36"/>
      <c r="AN37" s="36"/>
      <c r="AO37" s="36"/>
      <c r="AP37" s="36">
        <f t="shared" si="40"/>
        <v>77100</v>
      </c>
      <c r="AQ37" s="36"/>
      <c r="AR37" s="36"/>
      <c r="AS37" s="36"/>
      <c r="AT37" s="36"/>
      <c r="AU37" s="36"/>
      <c r="AV37" s="36">
        <f t="shared" si="41"/>
        <v>77100</v>
      </c>
      <c r="AW37" s="36">
        <v>0</v>
      </c>
      <c r="AX37" s="36"/>
      <c r="AY37" s="36"/>
      <c r="AZ37" s="36"/>
      <c r="BA37" s="36"/>
      <c r="BB37" s="36">
        <f t="shared" si="42"/>
        <v>77100</v>
      </c>
      <c r="BC37" s="36"/>
      <c r="BD37" s="36"/>
      <c r="BE37" s="36"/>
      <c r="BF37" s="36"/>
      <c r="BG37" s="36"/>
      <c r="BH37" s="36">
        <f t="shared" si="43"/>
        <v>77100</v>
      </c>
      <c r="BI37" s="36"/>
      <c r="BJ37" s="36"/>
      <c r="BK37" s="36"/>
      <c r="BL37" s="36"/>
      <c r="BM37" s="36"/>
      <c r="BN37" s="36">
        <f t="shared" si="44"/>
        <v>77100</v>
      </c>
      <c r="BO37" s="36"/>
      <c r="BP37" s="36"/>
      <c r="BQ37" s="36"/>
      <c r="BR37" s="36"/>
      <c r="BS37" s="36"/>
      <c r="BT37" s="36">
        <f t="shared" si="45"/>
        <v>77100</v>
      </c>
      <c r="BU37" s="36"/>
      <c r="BV37" s="36"/>
      <c r="BW37" s="36"/>
      <c r="BX37" s="36"/>
      <c r="BY37" s="36"/>
      <c r="BZ37" s="36">
        <f t="shared" si="46"/>
        <v>77100</v>
      </c>
      <c r="CA37" s="36"/>
      <c r="CB37" s="36"/>
      <c r="CC37" s="36"/>
      <c r="CD37" s="36">
        <f t="shared" si="47"/>
        <v>77100</v>
      </c>
    </row>
    <row r="38" spans="1:84">
      <c r="A38" s="41"/>
      <c r="B38" s="42" t="s">
        <v>70</v>
      </c>
      <c r="C38" s="42"/>
      <c r="D38" s="42"/>
      <c r="E38" s="36"/>
      <c r="F38" s="36">
        <v>270501.59000000003</v>
      </c>
      <c r="G38" s="36"/>
      <c r="H38" s="36">
        <v>7549.96</v>
      </c>
      <c r="I38" s="36"/>
      <c r="J38" s="36"/>
      <c r="K38" s="36"/>
      <c r="L38" s="36">
        <f t="shared" si="48"/>
        <v>278051.55000000005</v>
      </c>
      <c r="M38" s="36">
        <v>0</v>
      </c>
      <c r="N38" s="36"/>
      <c r="O38" s="36"/>
      <c r="P38" s="36"/>
      <c r="Q38" s="36"/>
      <c r="R38" s="36">
        <f t="shared" si="36"/>
        <v>278051.55000000005</v>
      </c>
      <c r="S38" s="36"/>
      <c r="T38" s="36"/>
      <c r="U38" s="36"/>
      <c r="V38" s="36"/>
      <c r="W38" s="36"/>
      <c r="X38" s="36">
        <f t="shared" si="37"/>
        <v>278051.55000000005</v>
      </c>
      <c r="Y38" s="36"/>
      <c r="Z38" s="36"/>
      <c r="AA38" s="36"/>
      <c r="AB38" s="36"/>
      <c r="AC38" s="36"/>
      <c r="AD38" s="36">
        <f t="shared" si="38"/>
        <v>278051.55000000005</v>
      </c>
      <c r="AE38" s="36"/>
      <c r="AF38" s="171"/>
      <c r="AG38" s="36">
        <f>56403.61+8500+7500</f>
        <v>72403.61</v>
      </c>
      <c r="AH38" s="36"/>
      <c r="AI38" s="36"/>
      <c r="AJ38" s="36">
        <f t="shared" si="39"/>
        <v>205647.94000000006</v>
      </c>
      <c r="AK38" s="36"/>
      <c r="AL38" s="36"/>
      <c r="AM38" s="36"/>
      <c r="AN38" s="36"/>
      <c r="AO38" s="36"/>
      <c r="AP38" s="36">
        <f t="shared" si="40"/>
        <v>205647.94000000006</v>
      </c>
      <c r="AQ38" s="36"/>
      <c r="AR38" s="36"/>
      <c r="AS38" s="36"/>
      <c r="AT38" s="36"/>
      <c r="AU38" s="36"/>
      <c r="AV38" s="36">
        <f t="shared" si="41"/>
        <v>205647.94000000006</v>
      </c>
      <c r="AW38" s="36">
        <v>0</v>
      </c>
      <c r="AX38" s="36"/>
      <c r="AY38" s="36"/>
      <c r="AZ38" s="36"/>
      <c r="BA38" s="36"/>
      <c r="BB38" s="36">
        <f t="shared" si="42"/>
        <v>205647.94000000006</v>
      </c>
      <c r="BC38" s="36"/>
      <c r="BD38" s="36"/>
      <c r="BE38" s="36"/>
      <c r="BF38" s="36"/>
      <c r="BG38" s="36"/>
      <c r="BH38" s="36">
        <f t="shared" si="43"/>
        <v>205647.94000000006</v>
      </c>
      <c r="BI38" s="36"/>
      <c r="BJ38" s="36"/>
      <c r="BK38" s="36"/>
      <c r="BL38" s="36">
        <v>0</v>
      </c>
      <c r="BM38" s="36"/>
      <c r="BN38" s="36">
        <f t="shared" si="44"/>
        <v>205647.94000000006</v>
      </c>
      <c r="BO38" s="36"/>
      <c r="BP38" s="36"/>
      <c r="BQ38" s="36"/>
      <c r="BR38" s="36"/>
      <c r="BS38" s="36"/>
      <c r="BT38" s="36">
        <f t="shared" si="45"/>
        <v>205647.94000000006</v>
      </c>
      <c r="BU38" s="36"/>
      <c r="BV38" s="36"/>
      <c r="BW38" s="36"/>
      <c r="BX38" s="36"/>
      <c r="BY38" s="36"/>
      <c r="BZ38" s="36">
        <f t="shared" si="46"/>
        <v>205647.94000000006</v>
      </c>
      <c r="CA38" s="36"/>
      <c r="CB38" s="36"/>
      <c r="CC38" s="36"/>
      <c r="CD38" s="36">
        <f t="shared" si="47"/>
        <v>205647.94000000006</v>
      </c>
    </row>
    <row r="39" spans="1:84">
      <c r="A39" s="41"/>
      <c r="B39" s="42" t="s">
        <v>262</v>
      </c>
      <c r="C39" s="42"/>
      <c r="D39" s="42"/>
      <c r="E39" s="36"/>
      <c r="F39" s="36">
        <v>0</v>
      </c>
      <c r="G39" s="36"/>
      <c r="H39" s="36"/>
      <c r="I39" s="36"/>
      <c r="J39" s="36"/>
      <c r="K39" s="36"/>
      <c r="L39" s="36">
        <f t="shared" si="48"/>
        <v>0</v>
      </c>
      <c r="M39" s="36">
        <v>0</v>
      </c>
      <c r="N39" s="36"/>
      <c r="O39" s="36"/>
      <c r="P39" s="36"/>
      <c r="Q39" s="36"/>
      <c r="R39" s="36">
        <f t="shared" si="36"/>
        <v>0</v>
      </c>
      <c r="S39" s="36"/>
      <c r="T39" s="36"/>
      <c r="U39" s="36"/>
      <c r="V39" s="36"/>
      <c r="W39" s="36"/>
      <c r="X39" s="36">
        <f t="shared" si="37"/>
        <v>0</v>
      </c>
      <c r="Y39" s="36"/>
      <c r="Z39" s="36"/>
      <c r="AA39" s="36"/>
      <c r="AB39" s="36"/>
      <c r="AC39" s="36"/>
      <c r="AD39" s="36">
        <f t="shared" si="38"/>
        <v>0</v>
      </c>
      <c r="AE39" s="70">
        <v>31285.5</v>
      </c>
      <c r="AF39" s="36">
        <v>31285.5</v>
      </c>
      <c r="AG39" s="36"/>
      <c r="AH39" s="36"/>
      <c r="AI39" s="36"/>
      <c r="AJ39" s="36">
        <f t="shared" si="39"/>
        <v>0</v>
      </c>
      <c r="AK39" s="36"/>
      <c r="AL39" s="36"/>
      <c r="AM39" s="36"/>
      <c r="AN39" s="36"/>
      <c r="AO39" s="36"/>
      <c r="AP39" s="36">
        <f t="shared" si="40"/>
        <v>0</v>
      </c>
      <c r="AQ39" s="36"/>
      <c r="AR39" s="36"/>
      <c r="AS39" s="36"/>
      <c r="AT39" s="36"/>
      <c r="AU39" s="36"/>
      <c r="AV39" s="36">
        <f t="shared" si="41"/>
        <v>0</v>
      </c>
      <c r="AW39" s="36">
        <v>0</v>
      </c>
      <c r="AX39" s="36"/>
      <c r="AY39" s="36"/>
      <c r="AZ39" s="36"/>
      <c r="BA39" s="36"/>
      <c r="BB39" s="36">
        <f t="shared" si="42"/>
        <v>0</v>
      </c>
      <c r="BC39" s="36"/>
      <c r="BD39" s="36"/>
      <c r="BE39" s="36"/>
      <c r="BF39" s="36"/>
      <c r="BG39" s="36"/>
      <c r="BH39" s="36">
        <f t="shared" si="43"/>
        <v>0</v>
      </c>
      <c r="BI39" s="36"/>
      <c r="BJ39" s="36"/>
      <c r="BK39" s="36"/>
      <c r="BL39" s="36"/>
      <c r="BM39" s="36"/>
      <c r="BN39" s="36">
        <f t="shared" si="44"/>
        <v>0</v>
      </c>
      <c r="BO39" s="36"/>
      <c r="BP39" s="36"/>
      <c r="BQ39" s="36"/>
      <c r="BR39" s="36"/>
      <c r="BS39" s="36"/>
      <c r="BT39" s="36">
        <f t="shared" si="45"/>
        <v>0</v>
      </c>
      <c r="BU39" s="36"/>
      <c r="BV39" s="36"/>
      <c r="BW39" s="36"/>
      <c r="BX39" s="36"/>
      <c r="BY39" s="36"/>
      <c r="BZ39" s="36">
        <f t="shared" si="46"/>
        <v>0</v>
      </c>
      <c r="CA39" s="36"/>
      <c r="CB39" s="36"/>
      <c r="CC39" s="36"/>
      <c r="CD39" s="124">
        <f t="shared" si="47"/>
        <v>0</v>
      </c>
    </row>
    <row r="40" spans="1:84">
      <c r="A40" s="230"/>
      <c r="B40" s="231" t="s">
        <v>261</v>
      </c>
      <c r="C40" s="231"/>
      <c r="D40" s="231"/>
      <c r="E40" s="51"/>
      <c r="F40" s="51">
        <v>50</v>
      </c>
      <c r="G40" s="51"/>
      <c r="H40" s="51"/>
      <c r="I40" s="51"/>
      <c r="J40" s="51"/>
      <c r="K40" s="51"/>
      <c r="L40" s="36">
        <f>+F40+H40-G40+J40-I40</f>
        <v>50</v>
      </c>
      <c r="M40" s="51">
        <v>3532</v>
      </c>
      <c r="N40" s="51">
        <v>3532</v>
      </c>
      <c r="O40" s="51"/>
      <c r="P40" s="51"/>
      <c r="Q40" s="51"/>
      <c r="R40" s="36">
        <f t="shared" ref="R40:R46" si="49">SUM(L40-M40+N40-O40+P40)</f>
        <v>50</v>
      </c>
      <c r="S40" s="51">
        <v>3552</v>
      </c>
      <c r="T40" s="51">
        <v>3552</v>
      </c>
      <c r="U40" s="51"/>
      <c r="V40" s="51"/>
      <c r="W40" s="51"/>
      <c r="X40" s="36">
        <f t="shared" si="37"/>
        <v>50</v>
      </c>
      <c r="Y40" s="51"/>
      <c r="Z40" s="51">
        <v>582</v>
      </c>
      <c r="AA40" s="51"/>
      <c r="AB40" s="51"/>
      <c r="AC40" s="51"/>
      <c r="AD40" s="36">
        <f t="shared" si="38"/>
        <v>632</v>
      </c>
      <c r="AE40" s="51">
        <v>582</v>
      </c>
      <c r="AF40" s="51"/>
      <c r="AG40" s="51"/>
      <c r="AH40" s="51"/>
      <c r="AI40" s="51"/>
      <c r="AJ40" s="51">
        <f t="shared" si="39"/>
        <v>50</v>
      </c>
      <c r="AK40" s="51"/>
      <c r="AL40" s="51"/>
      <c r="AM40" s="51"/>
      <c r="AN40" s="51"/>
      <c r="AO40" s="51"/>
      <c r="AP40" s="51">
        <f t="shared" si="40"/>
        <v>50</v>
      </c>
      <c r="AQ40" s="51"/>
      <c r="AR40" s="51"/>
      <c r="AS40" s="51"/>
      <c r="AT40" s="51"/>
      <c r="AU40" s="51"/>
      <c r="AV40" s="51">
        <f t="shared" si="41"/>
        <v>50</v>
      </c>
      <c r="AW40" s="51"/>
      <c r="AX40" s="51"/>
      <c r="AY40" s="51"/>
      <c r="AZ40" s="51"/>
      <c r="BA40" s="51"/>
      <c r="BB40" s="51">
        <f t="shared" si="42"/>
        <v>50</v>
      </c>
      <c r="BC40" s="51"/>
      <c r="BD40" s="51"/>
      <c r="BE40" s="51"/>
      <c r="BF40" s="51"/>
      <c r="BG40" s="51"/>
      <c r="BH40" s="51">
        <f t="shared" si="43"/>
        <v>50</v>
      </c>
      <c r="BI40" s="51"/>
      <c r="BJ40" s="51"/>
      <c r="BK40" s="51"/>
      <c r="BL40" s="51"/>
      <c r="BM40" s="51"/>
      <c r="BN40" s="51">
        <f t="shared" si="44"/>
        <v>50</v>
      </c>
      <c r="BO40" s="51"/>
      <c r="BP40" s="51"/>
      <c r="BQ40" s="51"/>
      <c r="BR40" s="51"/>
      <c r="BS40" s="51"/>
      <c r="BT40" s="51">
        <f t="shared" si="45"/>
        <v>50</v>
      </c>
      <c r="BU40" s="51"/>
      <c r="BV40" s="51"/>
      <c r="BW40" s="51"/>
      <c r="BX40" s="51"/>
      <c r="BY40" s="51"/>
      <c r="BZ40" s="36">
        <f t="shared" si="46"/>
        <v>50</v>
      </c>
      <c r="CA40" s="51"/>
      <c r="CB40" s="51"/>
      <c r="CC40" s="51"/>
      <c r="CD40" s="124">
        <f t="shared" ref="CD40:CD45" si="50">+BZ40+CB40</f>
        <v>50</v>
      </c>
    </row>
    <row r="41" spans="1:84">
      <c r="A41" s="230"/>
      <c r="B41" s="406" t="s">
        <v>454</v>
      </c>
      <c r="C41" s="406"/>
      <c r="D41" s="407"/>
      <c r="E41" s="51"/>
      <c r="F41" s="51"/>
      <c r="G41" s="51"/>
      <c r="H41" s="51"/>
      <c r="I41" s="51"/>
      <c r="J41" s="51"/>
      <c r="K41" s="51"/>
      <c r="L41" s="36"/>
      <c r="M41" s="51"/>
      <c r="N41" s="51"/>
      <c r="O41" s="51"/>
      <c r="P41" s="51"/>
      <c r="Q41" s="51"/>
      <c r="R41" s="36"/>
      <c r="S41" s="51"/>
      <c r="T41" s="51"/>
      <c r="U41" s="51"/>
      <c r="V41" s="51"/>
      <c r="W41" s="51"/>
      <c r="X41" s="36"/>
      <c r="Y41" s="51"/>
      <c r="Z41" s="51">
        <v>17955</v>
      </c>
      <c r="AA41" s="51"/>
      <c r="AB41" s="51"/>
      <c r="AC41" s="51"/>
      <c r="AD41" s="36">
        <f t="shared" si="38"/>
        <v>17955</v>
      </c>
      <c r="AE41" s="51"/>
      <c r="AF41" s="51"/>
      <c r="AG41" s="51"/>
      <c r="AH41" s="51"/>
      <c r="AI41" s="51"/>
      <c r="AJ41" s="51">
        <f t="shared" si="39"/>
        <v>17955</v>
      </c>
      <c r="AK41" s="51"/>
      <c r="AL41" s="51"/>
      <c r="AM41" s="51"/>
      <c r="AN41" s="51"/>
      <c r="AO41" s="51"/>
      <c r="AP41" s="51">
        <f t="shared" si="40"/>
        <v>17955</v>
      </c>
      <c r="AQ41" s="51"/>
      <c r="AR41" s="51"/>
      <c r="AS41" s="51"/>
      <c r="AT41" s="51"/>
      <c r="AU41" s="51"/>
      <c r="AV41" s="51">
        <f t="shared" si="41"/>
        <v>17955</v>
      </c>
      <c r="AW41" s="51"/>
      <c r="AX41" s="51"/>
      <c r="AY41" s="51"/>
      <c r="AZ41" s="51"/>
      <c r="BA41" s="51"/>
      <c r="BB41" s="51">
        <f t="shared" si="42"/>
        <v>17955</v>
      </c>
      <c r="BC41" s="51"/>
      <c r="BD41" s="51"/>
      <c r="BE41" s="51"/>
      <c r="BF41" s="51"/>
      <c r="BG41" s="51"/>
      <c r="BH41" s="51">
        <f t="shared" si="43"/>
        <v>17955</v>
      </c>
      <c r="BI41" s="51"/>
      <c r="BJ41" s="51"/>
      <c r="BK41" s="51"/>
      <c r="BL41" s="51"/>
      <c r="BM41" s="51"/>
      <c r="BN41" s="51">
        <f t="shared" si="44"/>
        <v>17955</v>
      </c>
      <c r="BO41" s="51"/>
      <c r="BP41" s="51"/>
      <c r="BQ41" s="51"/>
      <c r="BR41" s="51"/>
      <c r="BS41" s="51"/>
      <c r="BT41" s="51">
        <f t="shared" si="45"/>
        <v>17955</v>
      </c>
      <c r="BU41" s="51"/>
      <c r="BV41" s="51"/>
      <c r="BW41" s="51"/>
      <c r="BX41" s="51"/>
      <c r="BY41" s="51"/>
      <c r="BZ41" s="36">
        <f t="shared" si="46"/>
        <v>17955</v>
      </c>
      <c r="CA41" s="51"/>
      <c r="CB41" s="51"/>
      <c r="CC41" s="51"/>
      <c r="CD41" s="124">
        <f t="shared" si="50"/>
        <v>17955</v>
      </c>
    </row>
    <row r="42" spans="1:84" s="67" customFormat="1">
      <c r="A42" s="230"/>
      <c r="B42" s="406" t="s">
        <v>332</v>
      </c>
      <c r="C42" s="406"/>
      <c r="D42" s="407"/>
      <c r="E42" s="51"/>
      <c r="F42" s="51">
        <v>50000</v>
      </c>
      <c r="G42" s="51">
        <v>50000</v>
      </c>
      <c r="H42" s="51"/>
      <c r="I42" s="51"/>
      <c r="J42" s="51"/>
      <c r="K42" s="51"/>
      <c r="L42" s="36">
        <f t="shared" si="48"/>
        <v>0</v>
      </c>
      <c r="M42" s="51"/>
      <c r="N42" s="51"/>
      <c r="O42" s="51"/>
      <c r="P42" s="51"/>
      <c r="Q42" s="51"/>
      <c r="R42" s="36">
        <f>SUM(L42-M42+N42-O42+P42)</f>
        <v>0</v>
      </c>
      <c r="S42" s="51"/>
      <c r="T42" s="51"/>
      <c r="U42" s="51"/>
      <c r="V42" s="51"/>
      <c r="W42" s="51"/>
      <c r="X42" s="36">
        <f t="shared" si="37"/>
        <v>0</v>
      </c>
      <c r="Y42" s="51"/>
      <c r="Z42" s="51"/>
      <c r="AA42" s="51"/>
      <c r="AB42" s="51"/>
      <c r="AC42" s="51"/>
      <c r="AD42" s="36">
        <f t="shared" ref="AD42:AD46" si="51">SUM(X42-Y42+Z42-AA42+AB42)</f>
        <v>0</v>
      </c>
      <c r="AE42" s="51"/>
      <c r="AF42" s="51"/>
      <c r="AG42" s="51"/>
      <c r="AH42" s="51"/>
      <c r="AI42" s="51"/>
      <c r="AJ42" s="51">
        <f t="shared" si="39"/>
        <v>0</v>
      </c>
      <c r="AK42" s="51"/>
      <c r="AL42" s="51"/>
      <c r="AM42" s="51"/>
      <c r="AN42" s="51"/>
      <c r="AO42" s="51"/>
      <c r="AP42" s="51">
        <f t="shared" si="40"/>
        <v>0</v>
      </c>
      <c r="AQ42" s="51"/>
      <c r="AR42" s="51"/>
      <c r="AS42" s="51"/>
      <c r="AT42" s="51"/>
      <c r="AU42" s="51"/>
      <c r="AV42" s="51">
        <f t="shared" si="41"/>
        <v>0</v>
      </c>
      <c r="AW42" s="51"/>
      <c r="AX42" s="51"/>
      <c r="AY42" s="51"/>
      <c r="AZ42" s="51"/>
      <c r="BA42" s="51"/>
      <c r="BB42" s="51">
        <f t="shared" si="42"/>
        <v>0</v>
      </c>
      <c r="BC42" s="51"/>
      <c r="BD42" s="51">
        <v>0</v>
      </c>
      <c r="BE42" s="51"/>
      <c r="BF42" s="51"/>
      <c r="BG42" s="51"/>
      <c r="BH42" s="51">
        <f t="shared" si="43"/>
        <v>0</v>
      </c>
      <c r="BI42" s="51"/>
      <c r="BJ42" s="51"/>
      <c r="BK42" s="51"/>
      <c r="BL42" s="51"/>
      <c r="BM42" s="51"/>
      <c r="BN42" s="51">
        <f t="shared" si="44"/>
        <v>0</v>
      </c>
      <c r="BO42" s="51"/>
      <c r="BP42" s="51"/>
      <c r="BQ42" s="51"/>
      <c r="BR42" s="51"/>
      <c r="BS42" s="51"/>
      <c r="BT42" s="51">
        <f>SUM(BN42-BO42+BP42-BQ42+BR42)</f>
        <v>0</v>
      </c>
      <c r="BU42" s="51"/>
      <c r="BV42" s="51"/>
      <c r="BW42" s="51"/>
      <c r="BX42" s="51"/>
      <c r="BY42" s="51"/>
      <c r="BZ42" s="51">
        <f t="shared" si="46"/>
        <v>0</v>
      </c>
      <c r="CA42" s="51"/>
      <c r="CB42" s="51"/>
      <c r="CC42" s="51"/>
      <c r="CD42" s="124">
        <f t="shared" si="50"/>
        <v>0</v>
      </c>
      <c r="CE42" s="122"/>
      <c r="CF42" s="122"/>
    </row>
    <row r="43" spans="1:84" s="35" customFormat="1">
      <c r="A43" s="41"/>
      <c r="B43" s="262" t="s">
        <v>326</v>
      </c>
      <c r="C43" s="262"/>
      <c r="D43" s="262"/>
      <c r="E43" s="36"/>
      <c r="F43" s="36">
        <v>145700</v>
      </c>
      <c r="G43" s="36">
        <v>145700</v>
      </c>
      <c r="H43" s="36"/>
      <c r="I43" s="36"/>
      <c r="J43" s="36"/>
      <c r="K43" s="36"/>
      <c r="L43" s="36">
        <f t="shared" si="48"/>
        <v>0</v>
      </c>
      <c r="M43" s="36"/>
      <c r="N43" s="36"/>
      <c r="O43" s="36"/>
      <c r="P43" s="36"/>
      <c r="Q43" s="36"/>
      <c r="R43" s="36">
        <f>SUM(L43-M43+N43-O43+P43)</f>
        <v>0</v>
      </c>
      <c r="S43" s="36"/>
      <c r="T43" s="36"/>
      <c r="U43" s="36"/>
      <c r="V43" s="36"/>
      <c r="W43" s="36"/>
      <c r="X43" s="36">
        <f t="shared" si="37"/>
        <v>0</v>
      </c>
      <c r="Y43" s="36"/>
      <c r="Z43" s="36"/>
      <c r="AA43" s="36"/>
      <c r="AB43" s="36"/>
      <c r="AC43" s="36"/>
      <c r="AD43" s="36">
        <f>SUM(X43-Y43+Z43-AA43+AB43)</f>
        <v>0</v>
      </c>
      <c r="AE43" s="36"/>
      <c r="AF43" s="36"/>
      <c r="AG43" s="36"/>
      <c r="AH43" s="36"/>
      <c r="AI43" s="36"/>
      <c r="AJ43" s="51">
        <f t="shared" si="39"/>
        <v>0</v>
      </c>
      <c r="AK43" s="36"/>
      <c r="AL43" s="36"/>
      <c r="AM43" s="36"/>
      <c r="AN43" s="36"/>
      <c r="AO43" s="36"/>
      <c r="AP43" s="51">
        <f t="shared" si="40"/>
        <v>0</v>
      </c>
      <c r="AQ43" s="36"/>
      <c r="AR43" s="36"/>
      <c r="AS43" s="36"/>
      <c r="AT43" s="36"/>
      <c r="AU43" s="36"/>
      <c r="AV43" s="51">
        <f t="shared" si="41"/>
        <v>0</v>
      </c>
      <c r="AW43" s="36"/>
      <c r="AX43" s="36"/>
      <c r="AY43" s="36"/>
      <c r="AZ43" s="36"/>
      <c r="BA43" s="36"/>
      <c r="BB43" s="51">
        <f t="shared" si="42"/>
        <v>0</v>
      </c>
      <c r="BC43" s="36"/>
      <c r="BD43" s="36"/>
      <c r="BE43" s="36"/>
      <c r="BF43" s="36"/>
      <c r="BG43" s="36"/>
      <c r="BH43" s="51">
        <f t="shared" si="43"/>
        <v>0</v>
      </c>
      <c r="BI43" s="36"/>
      <c r="BJ43" s="36"/>
      <c r="BK43" s="36"/>
      <c r="BL43" s="36"/>
      <c r="BM43" s="36"/>
      <c r="BN43" s="51">
        <f t="shared" si="44"/>
        <v>0</v>
      </c>
      <c r="BO43" s="36"/>
      <c r="BP43" s="36"/>
      <c r="BQ43" s="36"/>
      <c r="BR43" s="36"/>
      <c r="BS43" s="36"/>
      <c r="BT43" s="51">
        <f t="shared" si="45"/>
        <v>0</v>
      </c>
      <c r="BU43" s="36"/>
      <c r="BV43" s="36"/>
      <c r="BW43" s="36"/>
      <c r="BX43" s="36"/>
      <c r="BY43" s="36"/>
      <c r="BZ43" s="51">
        <f t="shared" si="46"/>
        <v>0</v>
      </c>
      <c r="CA43" s="36"/>
      <c r="CB43" s="36"/>
      <c r="CC43" s="36"/>
      <c r="CD43" s="124">
        <f t="shared" si="50"/>
        <v>0</v>
      </c>
      <c r="CE43" s="233"/>
      <c r="CF43" s="233"/>
    </row>
    <row r="44" spans="1:84" s="17" customFormat="1">
      <c r="A44" s="107"/>
      <c r="B44" s="260" t="s">
        <v>327</v>
      </c>
      <c r="C44" s="260"/>
      <c r="D44" s="260"/>
      <c r="E44" s="15"/>
      <c r="F44" s="15">
        <v>15200</v>
      </c>
      <c r="G44" s="15">
        <v>15200</v>
      </c>
      <c r="H44" s="15"/>
      <c r="I44" s="15"/>
      <c r="J44" s="15"/>
      <c r="K44" s="15"/>
      <c r="L44" s="15">
        <f>+F44+H44-G44+J44-I44</f>
        <v>0</v>
      </c>
      <c r="M44" s="15"/>
      <c r="N44" s="15"/>
      <c r="O44" s="15"/>
      <c r="P44" s="15"/>
      <c r="Q44" s="15"/>
      <c r="R44" s="51">
        <f t="shared" si="49"/>
        <v>0</v>
      </c>
      <c r="S44" s="15"/>
      <c r="T44" s="15"/>
      <c r="U44" s="15"/>
      <c r="V44" s="15"/>
      <c r="W44" s="15"/>
      <c r="X44" s="51">
        <f t="shared" si="37"/>
        <v>0</v>
      </c>
      <c r="Y44" s="15"/>
      <c r="Z44" s="15"/>
      <c r="AA44" s="15"/>
      <c r="AB44" s="15"/>
      <c r="AC44" s="15"/>
      <c r="AD44" s="51">
        <f>SUM(X44-Y44+Z44-AA44+AB44)</f>
        <v>0</v>
      </c>
      <c r="AE44" s="15"/>
      <c r="AF44" s="15"/>
      <c r="AG44" s="15"/>
      <c r="AH44" s="15"/>
      <c r="AI44" s="15"/>
      <c r="AJ44" s="51">
        <f t="shared" si="39"/>
        <v>0</v>
      </c>
      <c r="AK44" s="15"/>
      <c r="AL44" s="15"/>
      <c r="AM44" s="15"/>
      <c r="AN44" s="15"/>
      <c r="AO44" s="15"/>
      <c r="AP44" s="51">
        <f t="shared" si="40"/>
        <v>0</v>
      </c>
      <c r="AQ44" s="15"/>
      <c r="AR44" s="15"/>
      <c r="AS44" s="15"/>
      <c r="AT44" s="15"/>
      <c r="AU44" s="15"/>
      <c r="AV44" s="51">
        <f t="shared" si="41"/>
        <v>0</v>
      </c>
      <c r="AW44" s="15"/>
      <c r="AX44" s="15"/>
      <c r="AY44" s="15"/>
      <c r="AZ44" s="15"/>
      <c r="BA44" s="15"/>
      <c r="BB44" s="51">
        <f t="shared" si="42"/>
        <v>0</v>
      </c>
      <c r="BC44" s="15"/>
      <c r="BD44" s="15"/>
      <c r="BE44" s="15"/>
      <c r="BF44" s="15"/>
      <c r="BG44" s="15"/>
      <c r="BH44" s="51">
        <f t="shared" si="43"/>
        <v>0</v>
      </c>
      <c r="BI44" s="15"/>
      <c r="BJ44" s="15"/>
      <c r="BK44" s="15"/>
      <c r="BL44" s="15"/>
      <c r="BM44" s="15"/>
      <c r="BN44" s="51">
        <f t="shared" si="44"/>
        <v>0</v>
      </c>
      <c r="BO44" s="15"/>
      <c r="BP44" s="15"/>
      <c r="BQ44" s="15"/>
      <c r="BR44" s="15"/>
      <c r="BS44" s="15"/>
      <c r="BT44" s="51">
        <f t="shared" si="45"/>
        <v>0</v>
      </c>
      <c r="BU44" s="15"/>
      <c r="BV44" s="15"/>
      <c r="BW44" s="15"/>
      <c r="BX44" s="15"/>
      <c r="BY44" s="15"/>
      <c r="BZ44" s="51">
        <f t="shared" si="46"/>
        <v>0</v>
      </c>
      <c r="CA44" s="15"/>
      <c r="CB44" s="15"/>
      <c r="CC44" s="15"/>
      <c r="CD44" s="124">
        <f t="shared" si="50"/>
        <v>0</v>
      </c>
      <c r="CE44" s="234"/>
      <c r="CF44" s="234"/>
    </row>
    <row r="45" spans="1:84" s="67" customFormat="1">
      <c r="A45" s="261"/>
      <c r="B45" s="408" t="s">
        <v>328</v>
      </c>
      <c r="C45" s="408"/>
      <c r="D45" s="409"/>
      <c r="E45" s="39"/>
      <c r="F45" s="39">
        <v>10652</v>
      </c>
      <c r="G45" s="39">
        <v>10652</v>
      </c>
      <c r="H45" s="39"/>
      <c r="I45" s="39"/>
      <c r="J45" s="39"/>
      <c r="K45" s="39"/>
      <c r="L45" s="51">
        <f>+F45+H45-G45+J45-I45</f>
        <v>0</v>
      </c>
      <c r="M45" s="39"/>
      <c r="N45" s="39"/>
      <c r="O45" s="39"/>
      <c r="P45" s="39"/>
      <c r="Q45" s="39"/>
      <c r="R45" s="51">
        <f t="shared" si="49"/>
        <v>0</v>
      </c>
      <c r="S45" s="39"/>
      <c r="T45" s="39"/>
      <c r="U45" s="39"/>
      <c r="V45" s="39"/>
      <c r="W45" s="39"/>
      <c r="X45" s="51">
        <f t="shared" si="37"/>
        <v>0</v>
      </c>
      <c r="Y45" s="39"/>
      <c r="Z45" s="39"/>
      <c r="AA45" s="39"/>
      <c r="AB45" s="39"/>
      <c r="AC45" s="39"/>
      <c r="AD45" s="51">
        <f>SUM(X45-Y45+Z45-AA45+AB45)</f>
        <v>0</v>
      </c>
      <c r="AE45" s="39"/>
      <c r="AF45" s="39"/>
      <c r="AG45" s="39"/>
      <c r="AH45" s="39"/>
      <c r="AI45" s="39"/>
      <c r="AJ45" s="51">
        <f t="shared" si="39"/>
        <v>0</v>
      </c>
      <c r="AK45" s="39"/>
      <c r="AL45" s="39"/>
      <c r="AM45" s="39"/>
      <c r="AN45" s="39"/>
      <c r="AO45" s="39"/>
      <c r="AP45" s="51">
        <f t="shared" si="40"/>
        <v>0</v>
      </c>
      <c r="AQ45" s="39"/>
      <c r="AR45" s="39"/>
      <c r="AS45" s="39"/>
      <c r="AT45" s="39"/>
      <c r="AU45" s="39"/>
      <c r="AV45" s="51">
        <f t="shared" si="41"/>
        <v>0</v>
      </c>
      <c r="AW45" s="39"/>
      <c r="AX45" s="39"/>
      <c r="AY45" s="39"/>
      <c r="AZ45" s="39"/>
      <c r="BA45" s="39"/>
      <c r="BB45" s="51">
        <f t="shared" si="42"/>
        <v>0</v>
      </c>
      <c r="BC45" s="39"/>
      <c r="BD45" s="39"/>
      <c r="BE45" s="39"/>
      <c r="BF45" s="39"/>
      <c r="BG45" s="39"/>
      <c r="BH45" s="51">
        <f t="shared" si="43"/>
        <v>0</v>
      </c>
      <c r="BI45" s="39"/>
      <c r="BJ45" s="39"/>
      <c r="BK45" s="39"/>
      <c r="BL45" s="39"/>
      <c r="BM45" s="39"/>
      <c r="BN45" s="51">
        <f t="shared" si="44"/>
        <v>0</v>
      </c>
      <c r="BO45" s="39">
        <v>0</v>
      </c>
      <c r="BP45" s="39"/>
      <c r="BQ45" s="39"/>
      <c r="BR45" s="39"/>
      <c r="BS45" s="39"/>
      <c r="BT45" s="51">
        <f t="shared" si="45"/>
        <v>0</v>
      </c>
      <c r="BU45" s="39"/>
      <c r="BV45" s="39"/>
      <c r="BW45" s="39"/>
      <c r="BX45" s="39"/>
      <c r="BY45" s="39"/>
      <c r="BZ45" s="51">
        <f t="shared" si="46"/>
        <v>0</v>
      </c>
      <c r="CA45" s="39"/>
      <c r="CB45" s="39"/>
      <c r="CC45" s="39"/>
      <c r="CD45" s="124">
        <f t="shared" si="50"/>
        <v>0</v>
      </c>
      <c r="CE45" s="122"/>
      <c r="CF45" s="122"/>
    </row>
    <row r="46" spans="1:84" s="17" customFormat="1">
      <c r="A46" s="388" t="s">
        <v>215</v>
      </c>
      <c r="B46" s="389"/>
      <c r="C46" s="389"/>
      <c r="D46" s="390"/>
      <c r="E46" s="30"/>
      <c r="F46" s="30">
        <v>0</v>
      </c>
      <c r="G46" s="30"/>
      <c r="H46" s="30">
        <v>3</v>
      </c>
      <c r="I46" s="30">
        <v>3</v>
      </c>
      <c r="J46" s="30"/>
      <c r="K46" s="30"/>
      <c r="L46" s="11">
        <f>+F46+H46-G46+J46-I46</f>
        <v>0</v>
      </c>
      <c r="M46" s="30"/>
      <c r="N46" s="30"/>
      <c r="O46" s="30"/>
      <c r="P46" s="30"/>
      <c r="Q46" s="30"/>
      <c r="R46" s="11">
        <f t="shared" si="49"/>
        <v>0</v>
      </c>
      <c r="S46" s="30"/>
      <c r="T46" s="30"/>
      <c r="U46" s="30"/>
      <c r="V46" s="30"/>
      <c r="W46" s="30"/>
      <c r="X46" s="11">
        <f t="shared" si="37"/>
        <v>0</v>
      </c>
      <c r="Y46" s="30"/>
      <c r="Z46" s="30"/>
      <c r="AA46" s="30"/>
      <c r="AB46" s="30"/>
      <c r="AC46" s="30"/>
      <c r="AD46" s="11">
        <f t="shared" si="51"/>
        <v>0</v>
      </c>
      <c r="AE46" s="30"/>
      <c r="AF46" s="30">
        <v>0.51</v>
      </c>
      <c r="AG46" s="30">
        <v>0.51</v>
      </c>
      <c r="AH46" s="30"/>
      <c r="AI46" s="30"/>
      <c r="AJ46" s="11">
        <f t="shared" si="39"/>
        <v>0</v>
      </c>
      <c r="AK46" s="30"/>
      <c r="AL46" s="30"/>
      <c r="AM46" s="30"/>
      <c r="AN46" s="30"/>
      <c r="AO46" s="30"/>
      <c r="AP46" s="11">
        <f t="shared" si="40"/>
        <v>0</v>
      </c>
      <c r="AQ46" s="30"/>
      <c r="AR46" s="30"/>
      <c r="AS46" s="30"/>
      <c r="AT46" s="30"/>
      <c r="AU46" s="30"/>
      <c r="AV46" s="11">
        <f t="shared" si="41"/>
        <v>0</v>
      </c>
      <c r="AW46" s="30"/>
      <c r="AX46" s="30"/>
      <c r="AY46" s="30"/>
      <c r="AZ46" s="30"/>
      <c r="BA46" s="30"/>
      <c r="BB46" s="11">
        <f t="shared" si="42"/>
        <v>0</v>
      </c>
      <c r="BC46" s="30"/>
      <c r="BD46" s="30"/>
      <c r="BE46" s="30"/>
      <c r="BF46" s="30"/>
      <c r="BG46" s="30"/>
      <c r="BH46" s="11">
        <f t="shared" si="43"/>
        <v>0</v>
      </c>
      <c r="BI46" s="30"/>
      <c r="BJ46" s="30"/>
      <c r="BK46" s="30"/>
      <c r="BL46" s="30"/>
      <c r="BM46" s="30"/>
      <c r="BN46" s="11">
        <f t="shared" si="44"/>
        <v>0</v>
      </c>
      <c r="BO46" s="30"/>
      <c r="BP46" s="30"/>
      <c r="BQ46" s="30"/>
      <c r="BR46" s="30"/>
      <c r="BS46" s="30"/>
      <c r="BT46" s="11">
        <f t="shared" si="45"/>
        <v>0</v>
      </c>
      <c r="BU46" s="30"/>
      <c r="BV46" s="30"/>
      <c r="BW46" s="30"/>
      <c r="BX46" s="30"/>
      <c r="BY46" s="30"/>
      <c r="BZ46" s="11">
        <f t="shared" si="46"/>
        <v>0</v>
      </c>
      <c r="CA46" s="30"/>
      <c r="CB46" s="30"/>
      <c r="CC46" s="30"/>
      <c r="CD46" s="15"/>
      <c r="CE46" s="234"/>
      <c r="CF46" s="234"/>
    </row>
    <row r="47" spans="1:84">
      <c r="A47" s="12" t="s">
        <v>338</v>
      </c>
      <c r="B47" s="24"/>
      <c r="C47" s="24"/>
      <c r="D47" s="24"/>
      <c r="E47" s="11"/>
      <c r="F47" s="11">
        <v>21332406.350000001</v>
      </c>
      <c r="G47" s="11"/>
      <c r="H47" s="11"/>
      <c r="I47" s="11"/>
      <c r="J47" s="11"/>
      <c r="K47" s="11"/>
      <c r="L47" s="11">
        <f>SUM(F47-G47+H47-I47+J47)</f>
        <v>21332406.350000001</v>
      </c>
      <c r="M47" s="11"/>
      <c r="N47" s="11"/>
      <c r="O47" s="11"/>
      <c r="P47" s="11"/>
      <c r="Q47" s="11"/>
      <c r="R47" s="11">
        <f>SUM(L47-M47+N47-O47+P47)</f>
        <v>21332406.350000001</v>
      </c>
      <c r="S47" s="11"/>
      <c r="T47" s="11"/>
      <c r="U47" s="11"/>
      <c r="V47" s="11"/>
      <c r="W47" s="11"/>
      <c r="X47" s="11">
        <f t="shared" ref="X47" si="52">SUM(R47-S47+T47-U47+V47)</f>
        <v>21332406.350000001</v>
      </c>
      <c r="Y47" s="11"/>
      <c r="Z47" s="11"/>
      <c r="AA47" s="11"/>
      <c r="AB47" s="11"/>
      <c r="AC47" s="11"/>
      <c r="AD47" s="15">
        <f>SUM(X47-Y47+Z47-AA47+AB47)</f>
        <v>21332406.350000001</v>
      </c>
      <c r="AE47" s="11"/>
      <c r="AF47" s="168"/>
      <c r="AG47" s="11"/>
      <c r="AH47" s="11"/>
      <c r="AI47" s="11"/>
      <c r="AJ47" s="11">
        <f t="shared" ref="AJ47" si="53">SUM(AD47-AE47+AF47-AG47+AH47)</f>
        <v>21332406.350000001</v>
      </c>
      <c r="AK47" s="11"/>
      <c r="AL47" s="11"/>
      <c r="AM47" s="11"/>
      <c r="AN47" s="11"/>
      <c r="AO47" s="11"/>
      <c r="AP47" s="11">
        <f t="shared" ref="AP47" si="54">SUM(AJ47-AK47+AL47-AM47+AN47)</f>
        <v>21332406.350000001</v>
      </c>
      <c r="AQ47" s="11"/>
      <c r="AR47" s="11"/>
      <c r="AS47" s="11"/>
      <c r="AT47" s="11"/>
      <c r="AU47" s="11"/>
      <c r="AV47" s="11">
        <f>SUM(AP47-AQ47+AR47-AS47+AT47)</f>
        <v>21332406.350000001</v>
      </c>
      <c r="AW47" s="11"/>
      <c r="AX47" s="11"/>
      <c r="AY47" s="11"/>
      <c r="AZ47" s="11"/>
      <c r="BA47" s="11"/>
      <c r="BB47" s="11">
        <f t="shared" ref="BB47" si="55">SUM(AV47-AW47+AX47-AY47+AZ47)</f>
        <v>21332406.350000001</v>
      </c>
      <c r="BC47" s="11"/>
      <c r="BD47" s="11"/>
      <c r="BE47" s="11"/>
      <c r="BF47" s="11"/>
      <c r="BG47" s="11"/>
      <c r="BH47" s="11">
        <f t="shared" ref="BH47" si="56">SUM(BB47-BC47+BD47-BE47+BF47)</f>
        <v>21332406.350000001</v>
      </c>
      <c r="BI47" s="11"/>
      <c r="BJ47" s="11"/>
      <c r="BK47" s="11"/>
      <c r="BL47" s="11"/>
      <c r="BM47" s="11"/>
      <c r="BN47" s="11">
        <f t="shared" ref="BN47" si="57">SUM(BH47-BI47+BJ47-BK47+BL47)</f>
        <v>21332406.350000001</v>
      </c>
      <c r="BO47" s="11"/>
      <c r="BP47" s="11"/>
      <c r="BQ47" s="11"/>
      <c r="BR47" s="11"/>
      <c r="BS47" s="11"/>
      <c r="BT47" s="11">
        <f t="shared" si="45"/>
        <v>21332406.350000001</v>
      </c>
      <c r="BU47" s="11"/>
      <c r="BV47" s="11"/>
      <c r="BW47" s="11"/>
      <c r="BX47" s="11"/>
      <c r="BY47" s="11"/>
      <c r="BZ47" s="11">
        <f t="shared" si="46"/>
        <v>21332406.350000001</v>
      </c>
      <c r="CA47" s="11"/>
      <c r="CB47" s="11"/>
      <c r="CC47" s="11"/>
      <c r="CD47" s="11">
        <f>+BZ47+CB47-BY47-CA47</f>
        <v>21332406.350000001</v>
      </c>
    </row>
    <row r="48" spans="1:84" s="23" customFormat="1">
      <c r="A48" s="85" t="s">
        <v>71</v>
      </c>
      <c r="B48" s="86"/>
      <c r="C48" s="86"/>
      <c r="D48" s="86"/>
      <c r="E48" s="87"/>
      <c r="F48" s="87">
        <v>12840275.52</v>
      </c>
      <c r="G48" s="87">
        <v>110707</v>
      </c>
      <c r="H48" s="87"/>
      <c r="I48" s="87"/>
      <c r="J48" s="87"/>
      <c r="K48" s="87"/>
      <c r="L48" s="11">
        <f>+F48+H48-G48+J48-I48</f>
        <v>12729568.52</v>
      </c>
      <c r="M48" s="87">
        <v>269414</v>
      </c>
      <c r="N48" s="87"/>
      <c r="O48" s="87"/>
      <c r="P48" s="87"/>
      <c r="Q48" s="87"/>
      <c r="R48" s="87">
        <f>SUM(L48-M48+N48-O48+P48)</f>
        <v>12460154.52</v>
      </c>
      <c r="S48" s="87">
        <v>246700</v>
      </c>
      <c r="T48" s="87">
        <v>23560</v>
      </c>
      <c r="U48" s="87"/>
      <c r="V48" s="87"/>
      <c r="W48" s="87"/>
      <c r="X48" s="87">
        <f>SUM(R48-S48+T48-U48+V48)</f>
        <v>12237014.52</v>
      </c>
      <c r="Y48" s="87"/>
      <c r="Z48" s="87"/>
      <c r="AA48" s="87"/>
      <c r="AB48" s="87"/>
      <c r="AC48" s="87"/>
      <c r="AD48" s="87">
        <f>SUM(X48-Y48+Z48-AA48+AB48)</f>
        <v>12237014.52</v>
      </c>
      <c r="AE48" s="87">
        <v>1249500</v>
      </c>
      <c r="AF48" s="87"/>
      <c r="AG48" s="87"/>
      <c r="AH48" s="87">
        <v>4000</v>
      </c>
      <c r="AI48" s="87"/>
      <c r="AJ48" s="87">
        <f>SUM(AD48-AE48+AF48-AG48+AH48)</f>
        <v>10991514.52</v>
      </c>
      <c r="AK48" s="87"/>
      <c r="AL48" s="87"/>
      <c r="AM48" s="87"/>
      <c r="AN48" s="87"/>
      <c r="AO48" s="87"/>
      <c r="AP48" s="87">
        <f>SUM(AJ48-AK48+AL48-AM48+AN48)</f>
        <v>10991514.52</v>
      </c>
      <c r="AQ48" s="87"/>
      <c r="AR48" s="87"/>
      <c r="AS48" s="87"/>
      <c r="AT48" s="87"/>
      <c r="AU48" s="87"/>
      <c r="AV48" s="87">
        <f>SUM(AP48-AQ48+AR48-AS48+AT48)</f>
        <v>10991514.52</v>
      </c>
      <c r="AW48" s="87"/>
      <c r="AX48" s="87"/>
      <c r="AY48" s="87"/>
      <c r="AZ48" s="87"/>
      <c r="BA48" s="87"/>
      <c r="BB48" s="87">
        <f>SUM(AV48-AW48+AX48-AY48+AZ48)</f>
        <v>10991514.52</v>
      </c>
      <c r="BC48" s="87"/>
      <c r="BD48" s="87"/>
      <c r="BE48" s="87"/>
      <c r="BF48" s="87"/>
      <c r="BG48" s="87"/>
      <c r="BH48" s="87">
        <f>SUM(BB48-BC48+BD48-BE48+BF48)</f>
        <v>10991514.52</v>
      </c>
      <c r="BI48" s="87"/>
      <c r="BJ48" s="87"/>
      <c r="BK48" s="87"/>
      <c r="BL48" s="87"/>
      <c r="BM48" s="87"/>
      <c r="BN48" s="87">
        <f>SUM(BH48-BI48+BJ48-BK48+BL48)</f>
        <v>10991514.52</v>
      </c>
      <c r="BO48" s="87"/>
      <c r="BP48" s="87"/>
      <c r="BQ48" s="87"/>
      <c r="BR48" s="87"/>
      <c r="BS48" s="87"/>
      <c r="BT48" s="87">
        <f>SUM(BN48-BO48+BP48-BQ48+BR48)</f>
        <v>10991514.52</v>
      </c>
      <c r="BU48" s="87"/>
      <c r="BV48" s="87"/>
      <c r="BW48" s="87"/>
      <c r="BX48" s="87"/>
      <c r="BY48" s="87"/>
      <c r="BZ48" s="87">
        <f>SUM(BT48-BU48+BV48-BW48+BX48)</f>
        <v>10991514.52</v>
      </c>
      <c r="CA48" s="87"/>
      <c r="CB48" s="87"/>
      <c r="CC48" s="87"/>
      <c r="CD48" s="87">
        <f>+BZ48+CB48-CA48-CC48</f>
        <v>10991514.52</v>
      </c>
      <c r="CE48" s="89"/>
      <c r="CF48" s="89"/>
    </row>
    <row r="49" spans="1:84">
      <c r="A49" s="12" t="s">
        <v>233</v>
      </c>
      <c r="B49" s="24"/>
      <c r="C49" s="24"/>
      <c r="D49" s="24"/>
      <c r="E49" s="11"/>
      <c r="F49" s="87">
        <v>14220759.52</v>
      </c>
      <c r="G49" s="11"/>
      <c r="H49" s="11"/>
      <c r="I49" s="11"/>
      <c r="J49" s="11"/>
      <c r="K49" s="11"/>
      <c r="L49" s="11">
        <f>+F49+H49-G49+J49-I49</f>
        <v>14220759.52</v>
      </c>
      <c r="M49" s="11"/>
      <c r="N49" s="11"/>
      <c r="O49" s="11"/>
      <c r="P49" s="11"/>
      <c r="Q49" s="11"/>
      <c r="R49" s="11">
        <f>SUM(L49-M49+N49-O49+P49)</f>
        <v>14220759.52</v>
      </c>
      <c r="S49" s="11"/>
      <c r="T49" s="11"/>
      <c r="U49" s="11"/>
      <c r="V49" s="11"/>
      <c r="W49" s="11"/>
      <c r="X49" s="11">
        <f t="shared" ref="X49" si="58">SUM(R49-S49+T49-U49+V49)</f>
        <v>14220759.52</v>
      </c>
      <c r="Y49" s="11"/>
      <c r="Z49" s="11"/>
      <c r="AA49" s="11"/>
      <c r="AB49" s="11"/>
      <c r="AC49" s="11"/>
      <c r="AD49" s="11">
        <f>SUM(X49-Y49+Z49-AA49+AB49)</f>
        <v>14220759.52</v>
      </c>
      <c r="AE49" s="11"/>
      <c r="AF49" s="11"/>
      <c r="AG49" s="11"/>
      <c r="AH49" s="11"/>
      <c r="AI49" s="11"/>
      <c r="AJ49" s="11">
        <f t="shared" si="39"/>
        <v>14220759.52</v>
      </c>
      <c r="AK49" s="11"/>
      <c r="AL49" s="11"/>
      <c r="AM49" s="11"/>
      <c r="AN49" s="11"/>
      <c r="AO49" s="11"/>
      <c r="AP49" s="11">
        <f t="shared" si="40"/>
        <v>14220759.52</v>
      </c>
      <c r="AQ49" s="11"/>
      <c r="AR49" s="11"/>
      <c r="AS49" s="11"/>
      <c r="AT49" s="11"/>
      <c r="AU49" s="11"/>
      <c r="AV49" s="11">
        <f t="shared" si="41"/>
        <v>14220759.52</v>
      </c>
      <c r="AW49" s="11"/>
      <c r="AX49" s="11"/>
      <c r="AY49" s="11"/>
      <c r="AZ49" s="11"/>
      <c r="BA49" s="11"/>
      <c r="BB49" s="87">
        <f>SUM(AV49-AW49+AX49-AY49+AZ49)</f>
        <v>14220759.52</v>
      </c>
      <c r="BC49" s="11"/>
      <c r="BD49" s="11"/>
      <c r="BE49" s="11"/>
      <c r="BF49" s="11"/>
      <c r="BG49" s="11"/>
      <c r="BH49" s="11">
        <f>SUM(BB49-BC49+BD49-BE49+BF49)</f>
        <v>14220759.52</v>
      </c>
      <c r="BI49" s="11"/>
      <c r="BJ49" s="11"/>
      <c r="BK49" s="11"/>
      <c r="BL49" s="11"/>
      <c r="BM49" s="11"/>
      <c r="BN49" s="11">
        <f>SUM(BH49-BI49+BJ49-BK49+BL49)</f>
        <v>14220759.52</v>
      </c>
      <c r="BO49" s="11"/>
      <c r="BP49" s="11"/>
      <c r="BQ49" s="11"/>
      <c r="BR49" s="11"/>
      <c r="BS49" s="11"/>
      <c r="BT49" s="11">
        <f t="shared" si="45"/>
        <v>14220759.52</v>
      </c>
      <c r="BU49" s="11"/>
      <c r="BV49" s="11"/>
      <c r="BW49" s="11"/>
      <c r="BX49" s="11"/>
      <c r="BY49" s="11"/>
      <c r="BZ49" s="11">
        <f>SUM(BT49-BU49+BV49-BW49+BX49)</f>
        <v>14220759.52</v>
      </c>
      <c r="CA49" s="11"/>
      <c r="CB49" s="11"/>
      <c r="CC49" s="11"/>
      <c r="CD49" s="11">
        <f>+BZ49+CB49-CA49-CC49</f>
        <v>14220759.52</v>
      </c>
    </row>
    <row r="50" spans="1:84">
      <c r="A50" s="12"/>
      <c r="B50" s="24"/>
      <c r="C50" s="24"/>
      <c r="D50" s="24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68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</row>
    <row r="51" spans="1:84">
      <c r="A51" s="12"/>
      <c r="B51" s="24"/>
      <c r="C51" s="24"/>
      <c r="D51" s="24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68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</row>
    <row r="52" spans="1:84" s="113" customFormat="1">
      <c r="A52" s="398" t="s">
        <v>72</v>
      </c>
      <c r="B52" s="399"/>
      <c r="C52" s="399"/>
      <c r="D52" s="399"/>
      <c r="E52" s="108">
        <f>SUM(E27:E31,E32,E48:E51)</f>
        <v>0</v>
      </c>
      <c r="F52" s="108">
        <f>SUM(F27:F31,F32,F46:F51)</f>
        <v>55055089.75</v>
      </c>
      <c r="G52" s="108">
        <f t="shared" ref="G52:BR52" si="59">SUM(G27:G31,G32,G46:G51)</f>
        <v>1431196.6099999999</v>
      </c>
      <c r="H52" s="108">
        <f>SUM(H27:H31,H32,H46:H51)</f>
        <v>107123.15000000001</v>
      </c>
      <c r="I52" s="108">
        <f t="shared" si="59"/>
        <v>3</v>
      </c>
      <c r="J52" s="108">
        <f t="shared" si="59"/>
        <v>0</v>
      </c>
      <c r="K52" s="108">
        <f t="shared" si="59"/>
        <v>0</v>
      </c>
      <c r="L52" s="108">
        <f>SUM(L27:L31,L32,L46:L51)</f>
        <v>53731013.289999992</v>
      </c>
      <c r="M52" s="108">
        <f t="shared" si="59"/>
        <v>1533604.19</v>
      </c>
      <c r="N52" s="108">
        <f t="shared" si="59"/>
        <v>19596.849999999999</v>
      </c>
      <c r="O52" s="108">
        <f t="shared" si="59"/>
        <v>0</v>
      </c>
      <c r="P52" s="108">
        <f t="shared" si="59"/>
        <v>0</v>
      </c>
      <c r="Q52" s="108">
        <f t="shared" si="59"/>
        <v>0</v>
      </c>
      <c r="R52" s="108">
        <f>SUM(R27:R31,R32,R46:R51)</f>
        <v>52217005.950000003</v>
      </c>
      <c r="S52" s="108">
        <f t="shared" si="59"/>
        <v>1585889.85</v>
      </c>
      <c r="T52" s="108">
        <f t="shared" si="59"/>
        <v>87225.010000000009</v>
      </c>
      <c r="U52" s="108">
        <f t="shared" si="59"/>
        <v>0</v>
      </c>
      <c r="V52" s="108">
        <f t="shared" si="59"/>
        <v>0</v>
      </c>
      <c r="W52" s="108">
        <f t="shared" si="59"/>
        <v>0</v>
      </c>
      <c r="X52" s="108">
        <f>SUM(X27:X31,X32,X46:X51)</f>
        <v>50718341.109999999</v>
      </c>
      <c r="Y52" s="108">
        <f t="shared" si="59"/>
        <v>579154.01</v>
      </c>
      <c r="Z52" s="108">
        <f t="shared" si="59"/>
        <v>126517.97</v>
      </c>
      <c r="AA52" s="108">
        <f t="shared" si="59"/>
        <v>0</v>
      </c>
      <c r="AB52" s="108">
        <f t="shared" si="59"/>
        <v>0.02</v>
      </c>
      <c r="AC52" s="108">
        <f t="shared" si="59"/>
        <v>0</v>
      </c>
      <c r="AD52" s="108">
        <f t="shared" si="59"/>
        <v>50265705.090000004</v>
      </c>
      <c r="AE52" s="108">
        <f t="shared" si="59"/>
        <v>1395761.37</v>
      </c>
      <c r="AF52" s="108">
        <f t="shared" si="59"/>
        <v>140459.56</v>
      </c>
      <c r="AG52" s="108">
        <f t="shared" si="59"/>
        <v>72404.12</v>
      </c>
      <c r="AH52" s="108">
        <f t="shared" si="59"/>
        <v>4000</v>
      </c>
      <c r="AI52" s="108">
        <f t="shared" si="59"/>
        <v>0</v>
      </c>
      <c r="AJ52" s="108">
        <f t="shared" si="59"/>
        <v>48941999.159999996</v>
      </c>
      <c r="AK52" s="108">
        <f t="shared" si="59"/>
        <v>0</v>
      </c>
      <c r="AL52" s="108">
        <f t="shared" si="59"/>
        <v>0</v>
      </c>
      <c r="AM52" s="108">
        <f t="shared" si="59"/>
        <v>0</v>
      </c>
      <c r="AN52" s="108">
        <f t="shared" si="59"/>
        <v>0</v>
      </c>
      <c r="AO52" s="108">
        <f t="shared" si="59"/>
        <v>0</v>
      </c>
      <c r="AP52" s="108">
        <f t="shared" si="59"/>
        <v>48941999.159999996</v>
      </c>
      <c r="AQ52" s="108">
        <f t="shared" si="59"/>
        <v>0</v>
      </c>
      <c r="AR52" s="108">
        <f t="shared" si="59"/>
        <v>0</v>
      </c>
      <c r="AS52" s="108">
        <f t="shared" si="59"/>
        <v>0</v>
      </c>
      <c r="AT52" s="108">
        <f t="shared" si="59"/>
        <v>0</v>
      </c>
      <c r="AU52" s="108">
        <f t="shared" si="59"/>
        <v>0</v>
      </c>
      <c r="AV52" s="108">
        <f t="shared" si="59"/>
        <v>48941999.159999996</v>
      </c>
      <c r="AW52" s="108">
        <f t="shared" si="59"/>
        <v>0</v>
      </c>
      <c r="AX52" s="108">
        <f t="shared" si="59"/>
        <v>0</v>
      </c>
      <c r="AY52" s="108">
        <f t="shared" si="59"/>
        <v>0</v>
      </c>
      <c r="AZ52" s="108">
        <f t="shared" si="59"/>
        <v>0</v>
      </c>
      <c r="BA52" s="108">
        <f t="shared" si="59"/>
        <v>0</v>
      </c>
      <c r="BB52" s="108">
        <f t="shared" si="59"/>
        <v>48941999.159999996</v>
      </c>
      <c r="BC52" s="108">
        <f t="shared" si="59"/>
        <v>0</v>
      </c>
      <c r="BD52" s="108">
        <f t="shared" si="59"/>
        <v>0</v>
      </c>
      <c r="BE52" s="108">
        <f t="shared" si="59"/>
        <v>0</v>
      </c>
      <c r="BF52" s="108">
        <f t="shared" si="59"/>
        <v>0</v>
      </c>
      <c r="BG52" s="108">
        <f t="shared" si="59"/>
        <v>0</v>
      </c>
      <c r="BH52" s="108">
        <f t="shared" si="59"/>
        <v>48941999.159999996</v>
      </c>
      <c r="BI52" s="108">
        <f t="shared" si="59"/>
        <v>0</v>
      </c>
      <c r="BJ52" s="108">
        <f t="shared" si="59"/>
        <v>0</v>
      </c>
      <c r="BK52" s="108">
        <f t="shared" si="59"/>
        <v>0</v>
      </c>
      <c r="BL52" s="108">
        <f t="shared" si="59"/>
        <v>0</v>
      </c>
      <c r="BM52" s="108">
        <f t="shared" si="59"/>
        <v>0</v>
      </c>
      <c r="BN52" s="108">
        <f t="shared" si="59"/>
        <v>48941999.159999996</v>
      </c>
      <c r="BO52" s="108">
        <f t="shared" si="59"/>
        <v>0</v>
      </c>
      <c r="BP52" s="108">
        <f t="shared" si="59"/>
        <v>0</v>
      </c>
      <c r="BQ52" s="108">
        <f t="shared" si="59"/>
        <v>0</v>
      </c>
      <c r="BR52" s="108">
        <f t="shared" si="59"/>
        <v>0</v>
      </c>
      <c r="BS52" s="108">
        <f t="shared" ref="BS52:CD52" si="60">SUM(BS27:BS31,BS32,BS46:BS51)</f>
        <v>0</v>
      </c>
      <c r="BT52" s="108">
        <f t="shared" si="60"/>
        <v>48941999.159999996</v>
      </c>
      <c r="BU52" s="108">
        <f t="shared" si="60"/>
        <v>0</v>
      </c>
      <c r="BV52" s="108">
        <f t="shared" si="60"/>
        <v>0</v>
      </c>
      <c r="BW52" s="108">
        <f t="shared" si="60"/>
        <v>0</v>
      </c>
      <c r="BX52" s="108">
        <f t="shared" si="60"/>
        <v>0</v>
      </c>
      <c r="BY52" s="108">
        <f t="shared" si="60"/>
        <v>0</v>
      </c>
      <c r="BZ52" s="108">
        <f t="shared" si="60"/>
        <v>48941999.159999996</v>
      </c>
      <c r="CA52" s="108">
        <f t="shared" si="60"/>
        <v>0</v>
      </c>
      <c r="CB52" s="108">
        <f t="shared" si="60"/>
        <v>0</v>
      </c>
      <c r="CC52" s="108">
        <f t="shared" si="60"/>
        <v>0</v>
      </c>
      <c r="CD52" s="108">
        <f t="shared" si="60"/>
        <v>48941999.159999996</v>
      </c>
      <c r="CE52" s="112">
        <f>+CD52-CC25</f>
        <v>-9149435.8300000131</v>
      </c>
      <c r="CF52" s="112"/>
    </row>
    <row r="53" spans="1:84">
      <c r="A53" s="396" t="s">
        <v>18</v>
      </c>
      <c r="B53" s="397"/>
      <c r="C53" s="397"/>
      <c r="D53" s="397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68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</row>
    <row r="54" spans="1:84" s="135" customFormat="1">
      <c r="A54" s="130" t="s">
        <v>73</v>
      </c>
      <c r="B54" s="131"/>
      <c r="C54" s="131"/>
      <c r="D54" s="131"/>
      <c r="E54" s="132">
        <f>SUM(E55,E59,E73,E77,E79,E83)</f>
        <v>0</v>
      </c>
      <c r="F54" s="132">
        <f t="shared" ref="F54:BQ54" si="61">SUM(F55,F59,F73,F77,F79,F83)</f>
        <v>0</v>
      </c>
      <c r="G54" s="132">
        <f t="shared" si="61"/>
        <v>0</v>
      </c>
      <c r="H54" s="132">
        <f t="shared" si="61"/>
        <v>44141.75</v>
      </c>
      <c r="I54" s="132">
        <f t="shared" si="61"/>
        <v>0</v>
      </c>
      <c r="J54" s="132">
        <f t="shared" si="61"/>
        <v>3</v>
      </c>
      <c r="K54" s="132">
        <f t="shared" si="61"/>
        <v>0</v>
      </c>
      <c r="L54" s="132">
        <f t="shared" si="61"/>
        <v>44144.75</v>
      </c>
      <c r="M54" s="132">
        <f t="shared" si="61"/>
        <v>0</v>
      </c>
      <c r="N54" s="132">
        <f t="shared" si="61"/>
        <v>81004.399999999994</v>
      </c>
      <c r="O54" s="132">
        <f t="shared" si="61"/>
        <v>0</v>
      </c>
      <c r="P54" s="132">
        <f t="shared" si="61"/>
        <v>0</v>
      </c>
      <c r="Q54" s="132">
        <f t="shared" si="61"/>
        <v>0</v>
      </c>
      <c r="R54" s="132">
        <f t="shared" si="61"/>
        <v>125149.15</v>
      </c>
      <c r="S54" s="132">
        <f t="shared" si="61"/>
        <v>0</v>
      </c>
      <c r="T54" s="132">
        <f t="shared" si="61"/>
        <v>49737.35</v>
      </c>
      <c r="U54" s="132">
        <f t="shared" si="61"/>
        <v>0</v>
      </c>
      <c r="V54" s="132">
        <f t="shared" si="61"/>
        <v>0</v>
      </c>
      <c r="W54" s="132">
        <f t="shared" si="61"/>
        <v>0</v>
      </c>
      <c r="X54" s="132">
        <f t="shared" si="61"/>
        <v>174886.5</v>
      </c>
      <c r="Y54" s="132">
        <f t="shared" si="61"/>
        <v>0</v>
      </c>
      <c r="Z54" s="132">
        <f t="shared" si="61"/>
        <v>161685.5</v>
      </c>
      <c r="AA54" s="132">
        <f t="shared" si="61"/>
        <v>0.02</v>
      </c>
      <c r="AB54" s="132">
        <f t="shared" si="61"/>
        <v>0</v>
      </c>
      <c r="AC54" s="132">
        <f t="shared" si="61"/>
        <v>0</v>
      </c>
      <c r="AD54" s="132">
        <f t="shared" si="61"/>
        <v>336571.98</v>
      </c>
      <c r="AE54" s="132">
        <f t="shared" si="61"/>
        <v>0</v>
      </c>
      <c r="AF54" s="132">
        <f>SUM(AF55,AF59,AF73,AF77,AF79,AF83)</f>
        <v>308232.08999999997</v>
      </c>
      <c r="AG54" s="132">
        <f t="shared" si="61"/>
        <v>0</v>
      </c>
      <c r="AH54" s="132">
        <f t="shared" si="61"/>
        <v>0</v>
      </c>
      <c r="AI54" s="132">
        <f t="shared" si="61"/>
        <v>0</v>
      </c>
      <c r="AJ54" s="132">
        <f t="shared" si="61"/>
        <v>644804.57999999996</v>
      </c>
      <c r="AK54" s="132">
        <f t="shared" si="61"/>
        <v>0</v>
      </c>
      <c r="AL54" s="132">
        <f t="shared" si="61"/>
        <v>0</v>
      </c>
      <c r="AM54" s="133">
        <f t="shared" si="61"/>
        <v>0</v>
      </c>
      <c r="AN54" s="133">
        <f t="shared" si="61"/>
        <v>0</v>
      </c>
      <c r="AO54" s="132">
        <f t="shared" si="61"/>
        <v>0</v>
      </c>
      <c r="AP54" s="132">
        <f t="shared" si="61"/>
        <v>644804.57999999996</v>
      </c>
      <c r="AQ54" s="132">
        <f t="shared" si="61"/>
        <v>0</v>
      </c>
      <c r="AR54" s="132">
        <f t="shared" si="61"/>
        <v>0</v>
      </c>
      <c r="AS54" s="132">
        <f t="shared" si="61"/>
        <v>0</v>
      </c>
      <c r="AT54" s="132">
        <f t="shared" si="61"/>
        <v>0</v>
      </c>
      <c r="AU54" s="132">
        <f t="shared" ref="AU54:AV54" si="62">SUM(AU55,AU59,AU73,AU77,AU79,AU83)</f>
        <v>0</v>
      </c>
      <c r="AV54" s="132">
        <f t="shared" si="62"/>
        <v>644804.57999999996</v>
      </c>
      <c r="AW54" s="132">
        <f t="shared" si="61"/>
        <v>0</v>
      </c>
      <c r="AX54" s="132">
        <f t="shared" si="61"/>
        <v>0</v>
      </c>
      <c r="AY54" s="132">
        <f t="shared" si="61"/>
        <v>0</v>
      </c>
      <c r="AZ54" s="132">
        <f t="shared" si="61"/>
        <v>0</v>
      </c>
      <c r="BA54" s="132">
        <f t="shared" si="61"/>
        <v>0</v>
      </c>
      <c r="BB54" s="132">
        <f t="shared" si="61"/>
        <v>644804.57999999996</v>
      </c>
      <c r="BC54" s="132">
        <f t="shared" si="61"/>
        <v>0</v>
      </c>
      <c r="BD54" s="132">
        <f>SUM(BD55,BD59,BD73,BD77,BD79,BD83)</f>
        <v>0</v>
      </c>
      <c r="BE54" s="132">
        <f t="shared" si="61"/>
        <v>0</v>
      </c>
      <c r="BF54" s="132">
        <f t="shared" si="61"/>
        <v>0</v>
      </c>
      <c r="BG54" s="132">
        <f t="shared" si="61"/>
        <v>0</v>
      </c>
      <c r="BH54" s="132">
        <f>SUM(BH55,BH59,BH73,BH77,BH79,BH83)</f>
        <v>644804.57999999996</v>
      </c>
      <c r="BI54" s="132">
        <f t="shared" si="61"/>
        <v>0</v>
      </c>
      <c r="BJ54" s="132">
        <f t="shared" si="61"/>
        <v>0</v>
      </c>
      <c r="BK54" s="132">
        <f t="shared" si="61"/>
        <v>0</v>
      </c>
      <c r="BL54" s="132">
        <f t="shared" si="61"/>
        <v>0</v>
      </c>
      <c r="BM54" s="132">
        <f t="shared" si="61"/>
        <v>0</v>
      </c>
      <c r="BN54" s="132">
        <f t="shared" si="61"/>
        <v>644804.57999999996</v>
      </c>
      <c r="BO54" s="132">
        <f t="shared" si="61"/>
        <v>0</v>
      </c>
      <c r="BP54" s="132">
        <f t="shared" si="61"/>
        <v>0</v>
      </c>
      <c r="BQ54" s="132">
        <f t="shared" si="61"/>
        <v>0</v>
      </c>
      <c r="BR54" s="132">
        <f t="shared" ref="BR54:CC54" si="63">SUM(BR55,BR59,BR73,BR77,BR79,BR83)</f>
        <v>0</v>
      </c>
      <c r="BS54" s="132">
        <f t="shared" si="63"/>
        <v>0</v>
      </c>
      <c r="BT54" s="132">
        <f t="shared" si="63"/>
        <v>644804.57999999996</v>
      </c>
      <c r="BU54" s="132">
        <f t="shared" si="63"/>
        <v>0</v>
      </c>
      <c r="BV54" s="132">
        <f t="shared" si="63"/>
        <v>0</v>
      </c>
      <c r="BW54" s="132">
        <f t="shared" si="63"/>
        <v>0</v>
      </c>
      <c r="BX54" s="132">
        <f t="shared" si="63"/>
        <v>0</v>
      </c>
      <c r="BY54" s="132">
        <f t="shared" si="63"/>
        <v>0</v>
      </c>
      <c r="BZ54" s="132">
        <f t="shared" si="63"/>
        <v>644804.57999999996</v>
      </c>
      <c r="CA54" s="133">
        <f t="shared" si="63"/>
        <v>0</v>
      </c>
      <c r="CB54" s="133">
        <f t="shared" si="63"/>
        <v>0</v>
      </c>
      <c r="CC54" s="132">
        <f t="shared" si="63"/>
        <v>0</v>
      </c>
      <c r="CD54" s="132">
        <f>SUM(CD55,CD59,CD73,CD77,CD79,CD83)</f>
        <v>644804.57999999996</v>
      </c>
      <c r="CE54" s="134"/>
      <c r="CF54" s="134"/>
    </row>
    <row r="55" spans="1:84" s="135" customFormat="1">
      <c r="A55" s="136"/>
      <c r="B55" s="137" t="s">
        <v>74</v>
      </c>
      <c r="C55" s="137"/>
      <c r="D55" s="137"/>
      <c r="E55" s="138">
        <f>SUM(E56:E58)</f>
        <v>0</v>
      </c>
      <c r="F55" s="138">
        <f>SUM(F56:F58)</f>
        <v>0</v>
      </c>
      <c r="G55" s="138">
        <f>SUM(G56:G58)</f>
        <v>0</v>
      </c>
      <c r="H55" s="138">
        <f>SUM(H56:H58)</f>
        <v>0</v>
      </c>
      <c r="I55" s="138">
        <f t="shared" ref="I55:BS55" si="64">SUM(I56:I58)</f>
        <v>0</v>
      </c>
      <c r="J55" s="138">
        <f t="shared" si="64"/>
        <v>0</v>
      </c>
      <c r="K55" s="138">
        <f t="shared" si="64"/>
        <v>0</v>
      </c>
      <c r="L55" s="138">
        <f>SUM(L56:L58)</f>
        <v>0</v>
      </c>
      <c r="M55" s="138">
        <f t="shared" si="64"/>
        <v>0</v>
      </c>
      <c r="N55" s="138">
        <f>SUM(N56:N58)</f>
        <v>0</v>
      </c>
      <c r="O55" s="138">
        <f t="shared" si="64"/>
        <v>0</v>
      </c>
      <c r="P55" s="138">
        <f t="shared" si="64"/>
        <v>0</v>
      </c>
      <c r="Q55" s="138">
        <f t="shared" si="64"/>
        <v>0</v>
      </c>
      <c r="R55" s="138">
        <f>SUM(R56:R58)</f>
        <v>0</v>
      </c>
      <c r="S55" s="138">
        <f t="shared" si="64"/>
        <v>0</v>
      </c>
      <c r="T55" s="138">
        <f t="shared" si="64"/>
        <v>0</v>
      </c>
      <c r="U55" s="138">
        <f t="shared" si="64"/>
        <v>0</v>
      </c>
      <c r="V55" s="138">
        <f t="shared" si="64"/>
        <v>0</v>
      </c>
      <c r="W55" s="138">
        <f t="shared" si="64"/>
        <v>0</v>
      </c>
      <c r="X55" s="138">
        <f>SUM(X56:X58)</f>
        <v>0</v>
      </c>
      <c r="Y55" s="138">
        <f t="shared" si="64"/>
        <v>0</v>
      </c>
      <c r="Z55" s="138">
        <f>SUM(Z56:Z58)</f>
        <v>14215.99</v>
      </c>
      <c r="AA55" s="138">
        <f t="shared" si="64"/>
        <v>0.02</v>
      </c>
      <c r="AB55" s="138">
        <f t="shared" si="64"/>
        <v>0</v>
      </c>
      <c r="AC55" s="138">
        <f t="shared" si="64"/>
        <v>0</v>
      </c>
      <c r="AD55" s="138">
        <f>SUM(AD56:AD58)</f>
        <v>14215.97</v>
      </c>
      <c r="AE55" s="138">
        <f t="shared" si="64"/>
        <v>0</v>
      </c>
      <c r="AF55" s="138">
        <f>SUM(AF56:AF58)</f>
        <v>77542.759999999995</v>
      </c>
      <c r="AG55" s="138">
        <f t="shared" si="64"/>
        <v>0</v>
      </c>
      <c r="AH55" s="138">
        <f t="shared" si="64"/>
        <v>0</v>
      </c>
      <c r="AI55" s="138">
        <f t="shared" si="64"/>
        <v>0</v>
      </c>
      <c r="AJ55" s="138">
        <f>SUM(AJ56:AJ58)</f>
        <v>91758.73</v>
      </c>
      <c r="AK55" s="138">
        <f t="shared" si="64"/>
        <v>0</v>
      </c>
      <c r="AL55" s="138">
        <f t="shared" si="64"/>
        <v>0</v>
      </c>
      <c r="AM55" s="139">
        <f t="shared" si="64"/>
        <v>0</v>
      </c>
      <c r="AN55" s="139">
        <f t="shared" si="64"/>
        <v>0</v>
      </c>
      <c r="AO55" s="138">
        <f t="shared" si="64"/>
        <v>0</v>
      </c>
      <c r="AP55" s="138">
        <f>SUM(AP56:AP58)</f>
        <v>91758.73</v>
      </c>
      <c r="AQ55" s="138">
        <f t="shared" si="64"/>
        <v>0</v>
      </c>
      <c r="AR55" s="138">
        <f>SUM(AR56:AR58)</f>
        <v>0</v>
      </c>
      <c r="AS55" s="138">
        <f t="shared" si="64"/>
        <v>0</v>
      </c>
      <c r="AT55" s="138">
        <f t="shared" si="64"/>
        <v>0</v>
      </c>
      <c r="AU55" s="138">
        <f t="shared" ref="AU55" si="65">SUM(AU56:AU58)</f>
        <v>0</v>
      </c>
      <c r="AV55" s="138">
        <f>SUM(AV56:AV58)</f>
        <v>91758.73</v>
      </c>
      <c r="AW55" s="138">
        <f t="shared" si="64"/>
        <v>0</v>
      </c>
      <c r="AX55" s="138">
        <f>SUM(AX56:AX58)</f>
        <v>0</v>
      </c>
      <c r="AY55" s="138">
        <f>SUM(AY56:AY58)</f>
        <v>0</v>
      </c>
      <c r="AZ55" s="138">
        <f>SUM(AZ56:AZ58)</f>
        <v>0</v>
      </c>
      <c r="BA55" s="138">
        <f t="shared" si="64"/>
        <v>0</v>
      </c>
      <c r="BB55" s="138">
        <f>SUM(BB56:BB58)</f>
        <v>91758.73</v>
      </c>
      <c r="BC55" s="138">
        <f t="shared" si="64"/>
        <v>0</v>
      </c>
      <c r="BD55" s="138">
        <f t="shared" si="64"/>
        <v>0</v>
      </c>
      <c r="BE55" s="138">
        <f t="shared" si="64"/>
        <v>0</v>
      </c>
      <c r="BF55" s="138">
        <f t="shared" si="64"/>
        <v>0</v>
      </c>
      <c r="BG55" s="138">
        <f>SUM(BG56:BG58)</f>
        <v>0</v>
      </c>
      <c r="BH55" s="138">
        <f>SUM(BH56:BH58)</f>
        <v>91758.73</v>
      </c>
      <c r="BI55" s="138">
        <f t="shared" si="64"/>
        <v>0</v>
      </c>
      <c r="BJ55" s="138">
        <f t="shared" si="64"/>
        <v>0</v>
      </c>
      <c r="BK55" s="138">
        <f t="shared" si="64"/>
        <v>0</v>
      </c>
      <c r="BL55" s="138">
        <f t="shared" si="64"/>
        <v>0</v>
      </c>
      <c r="BM55" s="138">
        <f t="shared" si="64"/>
        <v>0</v>
      </c>
      <c r="BN55" s="138">
        <f>SUM(BN56:BN58)</f>
        <v>91758.73</v>
      </c>
      <c r="BO55" s="138">
        <f t="shared" si="64"/>
        <v>0</v>
      </c>
      <c r="BP55" s="138">
        <f>SUM(BP56:BP58)</f>
        <v>0</v>
      </c>
      <c r="BQ55" s="138">
        <f t="shared" si="64"/>
        <v>0</v>
      </c>
      <c r="BR55" s="138">
        <f t="shared" si="64"/>
        <v>0</v>
      </c>
      <c r="BS55" s="138">
        <f t="shared" si="64"/>
        <v>0</v>
      </c>
      <c r="BT55" s="138">
        <f>SUM(BT56:BT58)</f>
        <v>91758.73</v>
      </c>
      <c r="BU55" s="138">
        <f t="shared" ref="BU55:CC55" si="66">SUM(BU56:BU58)</f>
        <v>0</v>
      </c>
      <c r="BV55" s="138">
        <f>SUM(BV56:BV58)</f>
        <v>0</v>
      </c>
      <c r="BW55" s="138">
        <f t="shared" si="66"/>
        <v>0</v>
      </c>
      <c r="BX55" s="138">
        <f t="shared" si="66"/>
        <v>0</v>
      </c>
      <c r="BY55" s="138">
        <f t="shared" si="66"/>
        <v>0</v>
      </c>
      <c r="BZ55" s="138">
        <f>SUM(BZ56:BZ58)</f>
        <v>91758.73</v>
      </c>
      <c r="CA55" s="139">
        <f>SUM(CA56:CA58)</f>
        <v>0</v>
      </c>
      <c r="CB55" s="139">
        <f>SUM(CB56:CB58)</f>
        <v>0</v>
      </c>
      <c r="CC55" s="138">
        <f t="shared" si="66"/>
        <v>0</v>
      </c>
      <c r="CD55" s="138">
        <f>SUM(CD56:CD58)</f>
        <v>91758.73</v>
      </c>
      <c r="CE55" s="134"/>
      <c r="CF55" s="134"/>
    </row>
    <row r="56" spans="1:84">
      <c r="A56" s="31"/>
      <c r="B56" s="32"/>
      <c r="C56" s="32" t="s">
        <v>38</v>
      </c>
      <c r="D56" s="32"/>
      <c r="E56" s="33"/>
      <c r="F56" s="33"/>
      <c r="G56" s="33"/>
      <c r="H56" s="33"/>
      <c r="I56" s="33"/>
      <c r="J56" s="33"/>
      <c r="K56" s="33"/>
      <c r="L56" s="33">
        <f>SUM(F56-G56+H56-I56+J56)</f>
        <v>0</v>
      </c>
      <c r="M56" s="33"/>
      <c r="N56" s="33"/>
      <c r="O56" s="33"/>
      <c r="P56" s="33"/>
      <c r="Q56" s="33"/>
      <c r="R56" s="33">
        <f>SUM(L56-M56+N56-O56+P56)</f>
        <v>0</v>
      </c>
      <c r="S56" s="33"/>
      <c r="T56" s="33"/>
      <c r="U56" s="33"/>
      <c r="V56" s="33"/>
      <c r="W56" s="33"/>
      <c r="X56" s="33">
        <f>SUM(R56-S56+T56-U56+V56)</f>
        <v>0</v>
      </c>
      <c r="Y56" s="33"/>
      <c r="Z56" s="33">
        <f>13011.42-100.42</f>
        <v>12911</v>
      </c>
      <c r="AA56" s="33"/>
      <c r="AB56" s="33"/>
      <c r="AC56" s="33"/>
      <c r="AD56" s="33">
        <f>SUM(X56-Y56+Z56-AA56+AB56)</f>
        <v>12911</v>
      </c>
      <c r="AE56" s="33"/>
      <c r="AF56" s="33">
        <v>68995.5</v>
      </c>
      <c r="AG56" s="33"/>
      <c r="AH56" s="33"/>
      <c r="AI56" s="33"/>
      <c r="AJ56" s="33">
        <f>SUM(AD56-AE56+AF56-AG56+AH56)</f>
        <v>81906.5</v>
      </c>
      <c r="AK56" s="33"/>
      <c r="AL56" s="33"/>
      <c r="AM56" s="33"/>
      <c r="AN56" s="33"/>
      <c r="AO56" s="33"/>
      <c r="AP56" s="33">
        <f>SUM(AJ56-AK56+AL56-AM56+AN56)</f>
        <v>81906.5</v>
      </c>
      <c r="AQ56" s="33"/>
      <c r="AR56" s="33"/>
      <c r="AS56" s="33"/>
      <c r="AT56" s="33"/>
      <c r="AU56" s="33"/>
      <c r="AV56" s="33">
        <f>SUM(AP56-AQ56+AR56-AS56+AT56)</f>
        <v>81906.5</v>
      </c>
      <c r="AW56" s="33"/>
      <c r="AX56" s="33">
        <v>0</v>
      </c>
      <c r="AY56" s="33"/>
      <c r="AZ56" s="33"/>
      <c r="BA56" s="33"/>
      <c r="BB56" s="33">
        <f>SUM(AV56-AW56+AX56-AY56+AZ56)</f>
        <v>81906.5</v>
      </c>
      <c r="BC56" s="33"/>
      <c r="BD56" s="33"/>
      <c r="BE56" s="33"/>
      <c r="BF56" s="33"/>
      <c r="BG56" s="33"/>
      <c r="BH56" s="33">
        <f>SUM(BB56-BC56+BD56-BE56+BF56)</f>
        <v>81906.5</v>
      </c>
      <c r="BI56" s="33"/>
      <c r="BJ56" s="33"/>
      <c r="BK56" s="33"/>
      <c r="BL56" s="33"/>
      <c r="BM56" s="33"/>
      <c r="BN56" s="33">
        <f>SUM(BH56-BI56+BJ56-BK56+BL56)</f>
        <v>81906.5</v>
      </c>
      <c r="BO56" s="33"/>
      <c r="BP56" s="33"/>
      <c r="BQ56" s="33"/>
      <c r="BR56" s="33"/>
      <c r="BS56" s="33"/>
      <c r="BT56" s="33">
        <f>SUM(BN56-BO56+BP56-BQ56+BR56)</f>
        <v>81906.5</v>
      </c>
      <c r="BU56" s="33"/>
      <c r="BV56" s="33"/>
      <c r="BW56" s="33"/>
      <c r="BX56" s="33"/>
      <c r="BY56" s="33"/>
      <c r="BZ56" s="33">
        <f>SUM(BT56-BU56+BV56-BW56+BX56)</f>
        <v>81906.5</v>
      </c>
      <c r="CA56" s="33"/>
      <c r="CB56" s="33"/>
      <c r="CC56" s="33"/>
      <c r="CD56" s="13">
        <f>+BZ56-CA56</f>
        <v>81906.5</v>
      </c>
    </row>
    <row r="57" spans="1:84">
      <c r="A57" s="34"/>
      <c r="B57" s="35"/>
      <c r="C57" s="35" t="s">
        <v>37</v>
      </c>
      <c r="D57" s="35"/>
      <c r="E57" s="36"/>
      <c r="F57" s="36"/>
      <c r="G57" s="36"/>
      <c r="H57" s="36"/>
      <c r="I57" s="36"/>
      <c r="J57" s="36"/>
      <c r="K57" s="36"/>
      <c r="L57" s="36">
        <f>SUM(F57-G57+H57-I57+J57)</f>
        <v>0</v>
      </c>
      <c r="M57" s="36"/>
      <c r="N57" s="36"/>
      <c r="O57" s="36"/>
      <c r="P57" s="36"/>
      <c r="Q57" s="36"/>
      <c r="R57" s="36">
        <f>SUM(L57-M57+N57-O57+P57)</f>
        <v>0</v>
      </c>
      <c r="S57" s="36"/>
      <c r="T57" s="36"/>
      <c r="U57" s="36"/>
      <c r="V57" s="36"/>
      <c r="W57" s="36"/>
      <c r="X57" s="36">
        <f>SUM(R57-S57+T57-U57+V57)</f>
        <v>0</v>
      </c>
      <c r="Y57" s="36"/>
      <c r="Z57" s="36">
        <v>1016.99</v>
      </c>
      <c r="AA57" s="36">
        <v>0.02</v>
      </c>
      <c r="AB57" s="36"/>
      <c r="AC57" s="36"/>
      <c r="AD57" s="36">
        <f>SUM(X57-Y57+Z57-AA57+AB57)</f>
        <v>1016.97</v>
      </c>
      <c r="AE57" s="36"/>
      <c r="AF57" s="36">
        <v>5119.26</v>
      </c>
      <c r="AG57" s="36"/>
      <c r="AH57" s="36"/>
      <c r="AI57" s="36"/>
      <c r="AJ57" s="36">
        <f>SUM(AD57-AE57+AF57-AG57+AH57)</f>
        <v>6136.2300000000005</v>
      </c>
      <c r="AK57" s="36"/>
      <c r="AL57" s="36"/>
      <c r="AM57" s="36"/>
      <c r="AN57" s="36"/>
      <c r="AO57" s="36"/>
      <c r="AP57" s="36">
        <f>SUM(AJ57-AK57+AL57-AM57+AN57)</f>
        <v>6136.2300000000005</v>
      </c>
      <c r="AQ57" s="36"/>
      <c r="AR57" s="36"/>
      <c r="AS57" s="36"/>
      <c r="AT57" s="36"/>
      <c r="AU57" s="36"/>
      <c r="AV57" s="36">
        <f>SUM(AP57-AQ57+AR57-AS57+AT57)</f>
        <v>6136.2300000000005</v>
      </c>
      <c r="AW57" s="36"/>
      <c r="AX57" s="36"/>
      <c r="AY57" s="36"/>
      <c r="AZ57" s="36"/>
      <c r="BA57" s="36"/>
      <c r="BB57" s="36">
        <f>SUM(AV57-AW57+AX57-AY57+AZ57)</f>
        <v>6136.2300000000005</v>
      </c>
      <c r="BC57" s="36"/>
      <c r="BD57" s="36"/>
      <c r="BE57" s="36"/>
      <c r="BF57" s="36"/>
      <c r="BG57" s="36"/>
      <c r="BH57" s="36">
        <f>SUM(BB57-BC57+BD57-BE57+BF57)</f>
        <v>6136.2300000000005</v>
      </c>
      <c r="BI57" s="36"/>
      <c r="BJ57" s="36"/>
      <c r="BK57" s="36"/>
      <c r="BL57" s="36"/>
      <c r="BM57" s="36"/>
      <c r="BN57" s="36">
        <f>SUM(BH57-BI57+BJ57-BK57+BL57)</f>
        <v>6136.2300000000005</v>
      </c>
      <c r="BO57" s="36"/>
      <c r="BP57" s="36"/>
      <c r="BQ57" s="36"/>
      <c r="BR57" s="36"/>
      <c r="BS57" s="36"/>
      <c r="BT57" s="36">
        <f>SUM(BN57-BO57+BP57-BQ57+BR57)</f>
        <v>6136.2300000000005</v>
      </c>
      <c r="BU57" s="36"/>
      <c r="BV57" s="36"/>
      <c r="BW57" s="36"/>
      <c r="BX57" s="36"/>
      <c r="BY57" s="36"/>
      <c r="BZ57" s="36">
        <f>SUM(BT57-BU57+BV57-BW57+BX57)</f>
        <v>6136.2300000000005</v>
      </c>
      <c r="CA57" s="36"/>
      <c r="CB57" s="36"/>
      <c r="CC57" s="36"/>
      <c r="CD57" s="36">
        <f>+BZ57+CB57-CA57</f>
        <v>6136.2300000000005</v>
      </c>
    </row>
    <row r="58" spans="1:84">
      <c r="A58" s="37"/>
      <c r="B58" s="38"/>
      <c r="C58" s="38" t="s">
        <v>39</v>
      </c>
      <c r="D58" s="38"/>
      <c r="E58" s="39"/>
      <c r="F58" s="39"/>
      <c r="G58" s="39"/>
      <c r="H58" s="39"/>
      <c r="I58" s="39"/>
      <c r="J58" s="39"/>
      <c r="K58" s="39"/>
      <c r="L58" s="36">
        <f>SUM(F58-G58+H58-I58+J58)</f>
        <v>0</v>
      </c>
      <c r="M58" s="39"/>
      <c r="N58" s="39"/>
      <c r="O58" s="39"/>
      <c r="P58" s="39"/>
      <c r="Q58" s="39"/>
      <c r="R58" s="36">
        <f>SUM(L58-M58+N58-O58+P58)</f>
        <v>0</v>
      </c>
      <c r="S58" s="39"/>
      <c r="T58" s="39"/>
      <c r="U58" s="39"/>
      <c r="V58" s="39"/>
      <c r="W58" s="39"/>
      <c r="X58" s="36">
        <f>SUM(R58-S58+T58-U58+V58)</f>
        <v>0</v>
      </c>
      <c r="Y58" s="39"/>
      <c r="Z58" s="39">
        <v>288</v>
      </c>
      <c r="AA58" s="39"/>
      <c r="AB58" s="39"/>
      <c r="AC58" s="39"/>
      <c r="AD58" s="36">
        <f>SUM(X58-Y58+Z58-AA58+AB58)</f>
        <v>288</v>
      </c>
      <c r="AE58" s="39"/>
      <c r="AF58" s="39">
        <v>3428</v>
      </c>
      <c r="AG58" s="39"/>
      <c r="AH58" s="39"/>
      <c r="AI58" s="39"/>
      <c r="AJ58" s="36">
        <f>SUM(AD58-AE58+AF58-AG58+AH58)</f>
        <v>3716</v>
      </c>
      <c r="AK58" s="39"/>
      <c r="AL58" s="39"/>
      <c r="AM58" s="39"/>
      <c r="AN58" s="39"/>
      <c r="AO58" s="39"/>
      <c r="AP58" s="36">
        <f>SUM(AJ58-AK58+AL58-AM58+AN58)</f>
        <v>3716</v>
      </c>
      <c r="AQ58" s="39"/>
      <c r="AR58" s="39"/>
      <c r="AS58" s="39"/>
      <c r="AT58" s="39"/>
      <c r="AU58" s="39"/>
      <c r="AV58" s="36">
        <f>SUM(AP58-AQ58+AR58-AS58+AT58)</f>
        <v>3716</v>
      </c>
      <c r="AW58" s="39"/>
      <c r="AX58" s="39">
        <v>0</v>
      </c>
      <c r="AY58" s="39"/>
      <c r="AZ58" s="39"/>
      <c r="BA58" s="39"/>
      <c r="BB58" s="36">
        <f>SUM(AV58-AW58+AX58-AY58+AZ58)</f>
        <v>3716</v>
      </c>
      <c r="BC58" s="39"/>
      <c r="BD58" s="39"/>
      <c r="BE58" s="39"/>
      <c r="BF58" s="39"/>
      <c r="BG58" s="39"/>
      <c r="BH58" s="36">
        <f>SUM(BB58-BC58+BD58-BE58+BF58)</f>
        <v>3716</v>
      </c>
      <c r="BI58" s="39"/>
      <c r="BJ58" s="39">
        <v>0</v>
      </c>
      <c r="BK58" s="39"/>
      <c r="BL58" s="39"/>
      <c r="BM58" s="39"/>
      <c r="BN58" s="36">
        <f>SUM(BH58-BI58+BJ58-BK58+BL58)</f>
        <v>3716</v>
      </c>
      <c r="BO58" s="39"/>
      <c r="BP58" s="39"/>
      <c r="BQ58" s="39"/>
      <c r="BR58" s="39"/>
      <c r="BS58" s="39"/>
      <c r="BT58" s="36">
        <f>SUM(BN58-BO58+BP58-BQ58+BR58)</f>
        <v>3716</v>
      </c>
      <c r="BU58" s="39"/>
      <c r="BV58" s="39"/>
      <c r="BW58" s="39"/>
      <c r="BX58" s="39"/>
      <c r="BY58" s="39"/>
      <c r="BZ58" s="36">
        <f>SUM(BT58-BU58+BV58-BW58+BX58)</f>
        <v>3716</v>
      </c>
      <c r="CA58" s="39"/>
      <c r="CB58" s="39"/>
      <c r="CC58" s="39"/>
      <c r="CD58" s="36">
        <f>SUM(BX58-BY58+BZ58-CA58+CB58)</f>
        <v>3716</v>
      </c>
    </row>
    <row r="59" spans="1:84" s="145" customFormat="1">
      <c r="A59" s="140"/>
      <c r="B59" s="141" t="s">
        <v>75</v>
      </c>
      <c r="C59" s="141"/>
      <c r="D59" s="141"/>
      <c r="E59" s="142">
        <f>SUM(E60:E71)</f>
        <v>0</v>
      </c>
      <c r="F59" s="142">
        <f>SUM(F60:F71)</f>
        <v>0</v>
      </c>
      <c r="G59" s="142">
        <f>SUM(G60:G71)</f>
        <v>0</v>
      </c>
      <c r="H59" s="142">
        <f>SUM(H60:H72)</f>
        <v>22491.75</v>
      </c>
      <c r="I59" s="142">
        <f t="shared" ref="I59:BT59" si="67">SUM(I60:I72)</f>
        <v>0</v>
      </c>
      <c r="J59" s="142">
        <f t="shared" si="67"/>
        <v>0</v>
      </c>
      <c r="K59" s="142">
        <f t="shared" si="67"/>
        <v>0</v>
      </c>
      <c r="L59" s="142">
        <f>SUM(L60:L72)</f>
        <v>22491.75</v>
      </c>
      <c r="M59" s="142">
        <f t="shared" si="67"/>
        <v>0</v>
      </c>
      <c r="N59" s="142">
        <f>SUM(N60:N72)</f>
        <v>18929.400000000001</v>
      </c>
      <c r="O59" s="142">
        <f t="shared" si="67"/>
        <v>0</v>
      </c>
      <c r="P59" s="142">
        <f t="shared" si="67"/>
        <v>0</v>
      </c>
      <c r="Q59" s="142">
        <f t="shared" si="67"/>
        <v>0</v>
      </c>
      <c r="R59" s="142">
        <f>SUM(R60:R72)</f>
        <v>41421.15</v>
      </c>
      <c r="S59" s="142">
        <f t="shared" si="67"/>
        <v>0</v>
      </c>
      <c r="T59" s="142">
        <f t="shared" si="67"/>
        <v>23542.35</v>
      </c>
      <c r="U59" s="142">
        <f t="shared" si="67"/>
        <v>0</v>
      </c>
      <c r="V59" s="142">
        <f t="shared" si="67"/>
        <v>0</v>
      </c>
      <c r="W59" s="142">
        <f t="shared" si="67"/>
        <v>0</v>
      </c>
      <c r="X59" s="142">
        <f>SUM(X60:X72)</f>
        <v>64963.5</v>
      </c>
      <c r="Y59" s="142">
        <f t="shared" si="67"/>
        <v>0</v>
      </c>
      <c r="Z59" s="142">
        <f t="shared" si="67"/>
        <v>15318.4</v>
      </c>
      <c r="AA59" s="142">
        <f t="shared" si="67"/>
        <v>0</v>
      </c>
      <c r="AB59" s="142">
        <f t="shared" si="67"/>
        <v>0</v>
      </c>
      <c r="AC59" s="142">
        <f t="shared" si="67"/>
        <v>0</v>
      </c>
      <c r="AD59" s="142">
        <f>SUM(AD60:AD72)</f>
        <v>80281.899999999994</v>
      </c>
      <c r="AE59" s="142">
        <f t="shared" si="67"/>
        <v>0</v>
      </c>
      <c r="AF59" s="142">
        <f t="shared" si="67"/>
        <v>13746.92</v>
      </c>
      <c r="AG59" s="142">
        <f t="shared" si="67"/>
        <v>0</v>
      </c>
      <c r="AH59" s="142">
        <f t="shared" si="67"/>
        <v>0</v>
      </c>
      <c r="AI59" s="142">
        <f t="shared" si="67"/>
        <v>0</v>
      </c>
      <c r="AJ59" s="142">
        <f>SUM(AJ60:AJ72)</f>
        <v>94028.82</v>
      </c>
      <c r="AK59" s="142">
        <f t="shared" si="67"/>
        <v>0</v>
      </c>
      <c r="AL59" s="142">
        <f t="shared" si="67"/>
        <v>0</v>
      </c>
      <c r="AM59" s="142">
        <f t="shared" si="67"/>
        <v>0</v>
      </c>
      <c r="AN59" s="142">
        <f t="shared" si="67"/>
        <v>0</v>
      </c>
      <c r="AO59" s="142">
        <f t="shared" si="67"/>
        <v>0</v>
      </c>
      <c r="AP59" s="142">
        <f t="shared" si="67"/>
        <v>94028.82</v>
      </c>
      <c r="AQ59" s="142">
        <f t="shared" si="67"/>
        <v>0</v>
      </c>
      <c r="AR59" s="142">
        <f t="shared" si="67"/>
        <v>0</v>
      </c>
      <c r="AS59" s="142">
        <f t="shared" si="67"/>
        <v>0</v>
      </c>
      <c r="AT59" s="142">
        <f t="shared" si="67"/>
        <v>0</v>
      </c>
      <c r="AU59" s="142">
        <f t="shared" si="67"/>
        <v>0</v>
      </c>
      <c r="AV59" s="142">
        <f t="shared" si="67"/>
        <v>94028.82</v>
      </c>
      <c r="AW59" s="142">
        <f t="shared" si="67"/>
        <v>0</v>
      </c>
      <c r="AX59" s="142">
        <f t="shared" si="67"/>
        <v>0</v>
      </c>
      <c r="AY59" s="142">
        <f t="shared" si="67"/>
        <v>0</v>
      </c>
      <c r="AZ59" s="142">
        <f t="shared" si="67"/>
        <v>0</v>
      </c>
      <c r="BA59" s="142">
        <f t="shared" si="67"/>
        <v>0</v>
      </c>
      <c r="BB59" s="142">
        <f t="shared" si="67"/>
        <v>94028.82</v>
      </c>
      <c r="BC59" s="142">
        <f t="shared" si="67"/>
        <v>0</v>
      </c>
      <c r="BD59" s="142">
        <f t="shared" si="67"/>
        <v>0</v>
      </c>
      <c r="BE59" s="142">
        <f t="shared" si="67"/>
        <v>0</v>
      </c>
      <c r="BF59" s="142">
        <f t="shared" si="67"/>
        <v>0</v>
      </c>
      <c r="BG59" s="142">
        <f t="shared" si="67"/>
        <v>0</v>
      </c>
      <c r="BH59" s="142">
        <f t="shared" si="67"/>
        <v>94028.82</v>
      </c>
      <c r="BI59" s="142">
        <f t="shared" si="67"/>
        <v>0</v>
      </c>
      <c r="BJ59" s="142">
        <f t="shared" si="67"/>
        <v>0</v>
      </c>
      <c r="BK59" s="142">
        <f t="shared" si="67"/>
        <v>0</v>
      </c>
      <c r="BL59" s="142">
        <f t="shared" si="67"/>
        <v>0</v>
      </c>
      <c r="BM59" s="142">
        <f t="shared" si="67"/>
        <v>0</v>
      </c>
      <c r="BN59" s="142">
        <f t="shared" si="67"/>
        <v>94028.82</v>
      </c>
      <c r="BO59" s="142">
        <f t="shared" si="67"/>
        <v>0</v>
      </c>
      <c r="BP59" s="142">
        <f t="shared" si="67"/>
        <v>0</v>
      </c>
      <c r="BQ59" s="142">
        <f t="shared" si="67"/>
        <v>0</v>
      </c>
      <c r="BR59" s="142">
        <f t="shared" si="67"/>
        <v>0</v>
      </c>
      <c r="BS59" s="142">
        <f t="shared" si="67"/>
        <v>0</v>
      </c>
      <c r="BT59" s="142">
        <f t="shared" si="67"/>
        <v>94028.82</v>
      </c>
      <c r="BU59" s="142">
        <f t="shared" ref="BU59:CD59" si="68">SUM(BU60:BU72)</f>
        <v>0</v>
      </c>
      <c r="BV59" s="142">
        <f t="shared" si="68"/>
        <v>0</v>
      </c>
      <c r="BW59" s="142">
        <f t="shared" si="68"/>
        <v>0</v>
      </c>
      <c r="BX59" s="142">
        <f t="shared" si="68"/>
        <v>0</v>
      </c>
      <c r="BY59" s="142">
        <f t="shared" si="68"/>
        <v>0</v>
      </c>
      <c r="BZ59" s="142">
        <f t="shared" si="68"/>
        <v>94028.82</v>
      </c>
      <c r="CA59" s="142">
        <f t="shared" si="68"/>
        <v>0</v>
      </c>
      <c r="CB59" s="142">
        <f t="shared" si="68"/>
        <v>0</v>
      </c>
      <c r="CC59" s="142">
        <f t="shared" si="68"/>
        <v>0</v>
      </c>
      <c r="CD59" s="142">
        <f t="shared" si="68"/>
        <v>94028.82</v>
      </c>
      <c r="CE59" s="144"/>
      <c r="CF59" s="144"/>
    </row>
    <row r="60" spans="1:84">
      <c r="A60" s="31"/>
      <c r="B60" s="32"/>
      <c r="C60" s="32" t="s">
        <v>76</v>
      </c>
      <c r="D60" s="32"/>
      <c r="E60" s="33"/>
      <c r="F60" s="33"/>
      <c r="G60" s="33"/>
      <c r="H60" s="33"/>
      <c r="I60" s="33"/>
      <c r="J60" s="33"/>
      <c r="K60" s="33"/>
      <c r="L60" s="13">
        <f t="shared" ref="L60:L72" si="69">SUM(F60-G60+H60-I60+J60)</f>
        <v>0</v>
      </c>
      <c r="M60" s="33"/>
      <c r="N60" s="33">
        <v>0</v>
      </c>
      <c r="O60" s="33"/>
      <c r="P60" s="33"/>
      <c r="Q60" s="33"/>
      <c r="R60" s="13">
        <f t="shared" ref="R60:R72" si="70">SUM(L60-M60+N60-O60+P60)</f>
        <v>0</v>
      </c>
      <c r="S60" s="33"/>
      <c r="T60" s="33"/>
      <c r="U60" s="33"/>
      <c r="V60" s="33"/>
      <c r="W60" s="33"/>
      <c r="X60" s="13">
        <f t="shared" ref="X60:X72" si="71">SUM(R60-S60+T60-U60+V60)</f>
        <v>0</v>
      </c>
      <c r="Y60" s="33"/>
      <c r="Z60" s="33">
        <v>19.399999999999999</v>
      </c>
      <c r="AA60" s="33"/>
      <c r="AB60" s="33"/>
      <c r="AC60" s="33"/>
      <c r="AD60" s="13">
        <f t="shared" ref="AD60:AD72" si="72">SUM(X60-Y60+Z60-AA60+AB60)</f>
        <v>19.399999999999999</v>
      </c>
      <c r="AE60" s="33"/>
      <c r="AF60" s="33">
        <v>737.2</v>
      </c>
      <c r="AG60" s="33"/>
      <c r="AH60" s="33"/>
      <c r="AI60" s="33"/>
      <c r="AJ60" s="33">
        <f t="shared" ref="AJ60:AJ72" si="73">SUM(AD60-AE60+AF60-AG60+AH60)</f>
        <v>756.6</v>
      </c>
      <c r="AK60" s="33"/>
      <c r="AL60" s="33">
        <v>0</v>
      </c>
      <c r="AM60" s="33"/>
      <c r="AN60" s="33"/>
      <c r="AO60" s="33"/>
      <c r="AP60" s="33">
        <f t="shared" ref="AP60:AP72" si="74">SUM(AJ60-AK60+AL60-AM60+AN60)</f>
        <v>756.6</v>
      </c>
      <c r="AQ60" s="33"/>
      <c r="AR60" s="33"/>
      <c r="AS60" s="33"/>
      <c r="AT60" s="33"/>
      <c r="AU60" s="33"/>
      <c r="AV60" s="33">
        <f t="shared" ref="AV60:AV72" si="75">SUM(AP60-AQ60+AR60-AS60+AT60)</f>
        <v>756.6</v>
      </c>
      <c r="AW60" s="33"/>
      <c r="AX60" s="33">
        <v>0</v>
      </c>
      <c r="AY60" s="33"/>
      <c r="AZ60" s="33"/>
      <c r="BA60" s="33"/>
      <c r="BB60" s="33">
        <f t="shared" ref="BB60:BB72" si="76">SUM(AV60-AW60+AX60-AY60+AZ60)</f>
        <v>756.6</v>
      </c>
      <c r="BC60" s="33"/>
      <c r="BD60" s="33">
        <v>0</v>
      </c>
      <c r="BE60" s="33"/>
      <c r="BF60" s="33"/>
      <c r="BG60" s="33"/>
      <c r="BH60" s="33">
        <f>SUM(BB60-BC60+BD60-BE60+BF60)</f>
        <v>756.6</v>
      </c>
      <c r="BI60" s="33"/>
      <c r="BJ60" s="33"/>
      <c r="BK60" s="33"/>
      <c r="BL60" s="33"/>
      <c r="BM60" s="33"/>
      <c r="BN60" s="33">
        <f t="shared" ref="BN60:BN72" si="77">SUM(BH60-BI60+BJ60-BK60+BL60)</f>
        <v>756.6</v>
      </c>
      <c r="BO60" s="33"/>
      <c r="BP60" s="33"/>
      <c r="BQ60" s="33"/>
      <c r="BR60" s="33"/>
      <c r="BS60" s="33"/>
      <c r="BT60" s="33">
        <f t="shared" ref="BT60:BT72" si="78">SUM(BN60-BO60+BP60-BQ60+BR60)</f>
        <v>756.6</v>
      </c>
      <c r="BU60" s="33"/>
      <c r="BV60" s="33"/>
      <c r="BW60" s="33"/>
      <c r="BX60" s="33"/>
      <c r="BY60" s="33"/>
      <c r="BZ60" s="33">
        <f t="shared" ref="BZ60:BZ72" si="79">SUM(BT60-BU60+BV60-BW60+BX60)</f>
        <v>756.6</v>
      </c>
      <c r="CA60" s="33"/>
      <c r="CB60" s="33"/>
      <c r="CC60" s="33"/>
      <c r="CD60" s="13">
        <f>+BZ60+CB60-CA60</f>
        <v>756.6</v>
      </c>
    </row>
    <row r="61" spans="1:84">
      <c r="A61" s="148"/>
      <c r="B61" s="71"/>
      <c r="C61" s="71" t="s">
        <v>245</v>
      </c>
      <c r="D61" s="71"/>
      <c r="E61" s="124"/>
      <c r="F61" s="124"/>
      <c r="G61" s="124"/>
      <c r="H61" s="124">
        <v>20600</v>
      </c>
      <c r="I61" s="124"/>
      <c r="J61" s="124"/>
      <c r="K61" s="124"/>
      <c r="L61" s="36">
        <f t="shared" si="69"/>
        <v>20600</v>
      </c>
      <c r="M61" s="124"/>
      <c r="N61" s="124">
        <v>15920</v>
      </c>
      <c r="O61" s="124"/>
      <c r="P61" s="124"/>
      <c r="Q61" s="124"/>
      <c r="R61" s="36">
        <f t="shared" si="70"/>
        <v>36520</v>
      </c>
      <c r="S61" s="124"/>
      <c r="T61" s="124">
        <v>20020</v>
      </c>
      <c r="U61" s="124"/>
      <c r="V61" s="124"/>
      <c r="W61" s="124"/>
      <c r="X61" s="36">
        <f t="shared" si="71"/>
        <v>56540</v>
      </c>
      <c r="Y61" s="124"/>
      <c r="Z61" s="124">
        <v>14480</v>
      </c>
      <c r="AA61" s="124"/>
      <c r="AB61" s="124"/>
      <c r="AC61" s="124"/>
      <c r="AD61" s="36">
        <f t="shared" ref="AD61:AD67" si="80">SUM(X61-Y61+Z61-AA61+AB61)</f>
        <v>71020</v>
      </c>
      <c r="AE61" s="124"/>
      <c r="AF61" s="124">
        <v>12260</v>
      </c>
      <c r="AG61" s="124"/>
      <c r="AH61" s="124"/>
      <c r="AI61" s="124"/>
      <c r="AJ61" s="124">
        <f t="shared" si="73"/>
        <v>83280</v>
      </c>
      <c r="AK61" s="124"/>
      <c r="AL61" s="124"/>
      <c r="AM61" s="124"/>
      <c r="AN61" s="124"/>
      <c r="AO61" s="124"/>
      <c r="AP61" s="124">
        <f t="shared" si="74"/>
        <v>83280</v>
      </c>
      <c r="AQ61" s="124"/>
      <c r="AR61" s="124"/>
      <c r="AS61" s="124"/>
      <c r="AT61" s="124"/>
      <c r="AU61" s="124"/>
      <c r="AV61" s="124">
        <f t="shared" si="75"/>
        <v>83280</v>
      </c>
      <c r="AW61" s="124"/>
      <c r="AX61" s="124"/>
      <c r="AY61" s="124"/>
      <c r="AZ61" s="124"/>
      <c r="BA61" s="124"/>
      <c r="BB61" s="124">
        <f t="shared" si="76"/>
        <v>83280</v>
      </c>
      <c r="BC61" s="124"/>
      <c r="BD61" s="124"/>
      <c r="BE61" s="124"/>
      <c r="BF61" s="124"/>
      <c r="BG61" s="124"/>
      <c r="BH61" s="124">
        <f>SUM(BB61-BC61+BD61-BE61+BF61)</f>
        <v>83280</v>
      </c>
      <c r="BI61" s="124"/>
      <c r="BJ61" s="124"/>
      <c r="BK61" s="124"/>
      <c r="BL61" s="124"/>
      <c r="BM61" s="124"/>
      <c r="BN61" s="124">
        <f t="shared" si="77"/>
        <v>83280</v>
      </c>
      <c r="BO61" s="124"/>
      <c r="BP61" s="124"/>
      <c r="BQ61" s="124"/>
      <c r="BR61" s="124"/>
      <c r="BS61" s="124"/>
      <c r="BT61" s="33">
        <f t="shared" si="78"/>
        <v>83280</v>
      </c>
      <c r="BU61" s="124"/>
      <c r="BV61" s="124"/>
      <c r="BW61" s="124"/>
      <c r="BX61" s="124"/>
      <c r="BY61" s="124"/>
      <c r="BZ61" s="124">
        <f t="shared" si="79"/>
        <v>83280</v>
      </c>
      <c r="CA61" s="124"/>
      <c r="CB61" s="124"/>
      <c r="CC61" s="124"/>
      <c r="CD61" s="36">
        <f t="shared" ref="CD61:CD66" si="81">+BZ61+CB61-CA61</f>
        <v>83280</v>
      </c>
    </row>
    <row r="62" spans="1:84">
      <c r="A62" s="34"/>
      <c r="B62" s="35"/>
      <c r="C62" s="35" t="s">
        <v>239</v>
      </c>
      <c r="D62" s="35"/>
      <c r="E62" s="36"/>
      <c r="F62" s="36"/>
      <c r="G62" s="36"/>
      <c r="H62" s="36"/>
      <c r="I62" s="36"/>
      <c r="J62" s="36"/>
      <c r="K62" s="36"/>
      <c r="L62" s="36">
        <f t="shared" si="69"/>
        <v>0</v>
      </c>
      <c r="M62" s="36"/>
      <c r="N62" s="36"/>
      <c r="O62" s="36"/>
      <c r="P62" s="36"/>
      <c r="Q62" s="36"/>
      <c r="R62" s="36">
        <f t="shared" si="70"/>
        <v>0</v>
      </c>
      <c r="S62" s="36"/>
      <c r="T62" s="36"/>
      <c r="U62" s="36"/>
      <c r="V62" s="36"/>
      <c r="W62" s="36"/>
      <c r="X62" s="36">
        <f t="shared" si="71"/>
        <v>0</v>
      </c>
      <c r="Y62" s="36"/>
      <c r="Z62" s="36">
        <v>0</v>
      </c>
      <c r="AA62" s="36"/>
      <c r="AB62" s="36"/>
      <c r="AC62" s="36"/>
      <c r="AD62" s="124">
        <f t="shared" si="80"/>
        <v>0</v>
      </c>
      <c r="AE62" s="36"/>
      <c r="AF62" s="36">
        <v>150</v>
      </c>
      <c r="AG62" s="36"/>
      <c r="AH62" s="36"/>
      <c r="AI62" s="36"/>
      <c r="AJ62" s="36">
        <f t="shared" si="73"/>
        <v>150</v>
      </c>
      <c r="AK62" s="36"/>
      <c r="AL62" s="36"/>
      <c r="AM62" s="36"/>
      <c r="AN62" s="36"/>
      <c r="AO62" s="36"/>
      <c r="AP62" s="36">
        <f t="shared" si="74"/>
        <v>150</v>
      </c>
      <c r="AQ62" s="36"/>
      <c r="AR62" s="36"/>
      <c r="AS62" s="36"/>
      <c r="AT62" s="36"/>
      <c r="AU62" s="36"/>
      <c r="AV62" s="36">
        <f t="shared" si="75"/>
        <v>150</v>
      </c>
      <c r="AW62" s="36"/>
      <c r="AX62" s="36">
        <v>0</v>
      </c>
      <c r="AY62" s="36"/>
      <c r="AZ62" s="36"/>
      <c r="BA62" s="36"/>
      <c r="BB62" s="36">
        <f t="shared" si="76"/>
        <v>150</v>
      </c>
      <c r="BC62" s="36"/>
      <c r="BD62" s="36"/>
      <c r="BE62" s="36"/>
      <c r="BF62" s="36"/>
      <c r="BG62" s="36"/>
      <c r="BH62" s="36">
        <f>SUM(BB62-BC62+BD62-BE62+BF62)</f>
        <v>150</v>
      </c>
      <c r="BI62" s="36"/>
      <c r="BJ62" s="36"/>
      <c r="BK62" s="36"/>
      <c r="BL62" s="36"/>
      <c r="BM62" s="36"/>
      <c r="BN62" s="36">
        <f t="shared" si="77"/>
        <v>150</v>
      </c>
      <c r="BO62" s="36"/>
      <c r="BP62" s="36"/>
      <c r="BQ62" s="36"/>
      <c r="BR62" s="36"/>
      <c r="BS62" s="36"/>
      <c r="BT62" s="36">
        <f t="shared" si="78"/>
        <v>150</v>
      </c>
      <c r="BU62" s="36"/>
      <c r="BV62" s="36"/>
      <c r="BW62" s="36"/>
      <c r="BX62" s="36"/>
      <c r="BY62" s="36"/>
      <c r="BZ62" s="36">
        <f t="shared" si="79"/>
        <v>150</v>
      </c>
      <c r="CA62" s="36"/>
      <c r="CB62" s="36"/>
      <c r="CC62" s="36"/>
      <c r="CD62" s="36">
        <f t="shared" si="81"/>
        <v>150</v>
      </c>
    </row>
    <row r="63" spans="1:84">
      <c r="A63" s="34"/>
      <c r="B63" s="35"/>
      <c r="C63" s="35" t="s">
        <v>77</v>
      </c>
      <c r="D63" s="35"/>
      <c r="E63" s="36"/>
      <c r="F63" s="36"/>
      <c r="G63" s="36"/>
      <c r="H63" s="36">
        <v>180</v>
      </c>
      <c r="I63" s="36"/>
      <c r="J63" s="36"/>
      <c r="K63" s="36"/>
      <c r="L63" s="36">
        <f t="shared" si="69"/>
        <v>180</v>
      </c>
      <c r="M63" s="36"/>
      <c r="N63" s="36">
        <v>420</v>
      </c>
      <c r="O63" s="36"/>
      <c r="P63" s="36"/>
      <c r="Q63" s="36"/>
      <c r="R63" s="36">
        <f t="shared" si="70"/>
        <v>600</v>
      </c>
      <c r="S63" s="36"/>
      <c r="T63" s="36">
        <v>300</v>
      </c>
      <c r="U63" s="36"/>
      <c r="V63" s="36"/>
      <c r="W63" s="36"/>
      <c r="X63" s="36">
        <f t="shared" si="71"/>
        <v>900</v>
      </c>
      <c r="Y63" s="36"/>
      <c r="Z63" s="36">
        <v>310</v>
      </c>
      <c r="AA63" s="36"/>
      <c r="AB63" s="36"/>
      <c r="AC63" s="36"/>
      <c r="AD63" s="36">
        <f t="shared" si="80"/>
        <v>1210</v>
      </c>
      <c r="AE63" s="36"/>
      <c r="AF63" s="36">
        <v>220</v>
      </c>
      <c r="AG63" s="36"/>
      <c r="AH63" s="36"/>
      <c r="AI63" s="36"/>
      <c r="AJ63" s="36">
        <f t="shared" si="73"/>
        <v>1430</v>
      </c>
      <c r="AK63" s="36"/>
      <c r="AL63" s="36"/>
      <c r="AM63" s="36"/>
      <c r="AN63" s="36"/>
      <c r="AO63" s="36"/>
      <c r="AP63" s="36">
        <f t="shared" si="74"/>
        <v>1430</v>
      </c>
      <c r="AQ63" s="36"/>
      <c r="AR63" s="36"/>
      <c r="AS63" s="36"/>
      <c r="AT63" s="36"/>
      <c r="AU63" s="36"/>
      <c r="AV63" s="36">
        <f t="shared" si="75"/>
        <v>1430</v>
      </c>
      <c r="AW63" s="36"/>
      <c r="AX63" s="36"/>
      <c r="AY63" s="36"/>
      <c r="AZ63" s="36"/>
      <c r="BA63" s="36"/>
      <c r="BB63" s="36">
        <f t="shared" si="76"/>
        <v>1430</v>
      </c>
      <c r="BC63" s="36"/>
      <c r="BD63" s="36"/>
      <c r="BE63" s="36"/>
      <c r="BF63" s="36"/>
      <c r="BG63" s="36"/>
      <c r="BH63" s="36">
        <f>SUM(BB63-BC63+BD63-BE63+BF63)</f>
        <v>1430</v>
      </c>
      <c r="BI63" s="36"/>
      <c r="BJ63" s="36"/>
      <c r="BK63" s="36"/>
      <c r="BL63" s="36"/>
      <c r="BM63" s="36"/>
      <c r="BN63" s="36">
        <f t="shared" si="77"/>
        <v>1430</v>
      </c>
      <c r="BO63" s="36"/>
      <c r="BP63" s="36"/>
      <c r="BQ63" s="36"/>
      <c r="BR63" s="36"/>
      <c r="BS63" s="36"/>
      <c r="BT63" s="36">
        <f t="shared" si="78"/>
        <v>1430</v>
      </c>
      <c r="BU63" s="36"/>
      <c r="BV63" s="36"/>
      <c r="BW63" s="36"/>
      <c r="BX63" s="36"/>
      <c r="BY63" s="36"/>
      <c r="BZ63" s="36">
        <f t="shared" si="79"/>
        <v>1430</v>
      </c>
      <c r="CA63" s="36"/>
      <c r="CB63" s="36"/>
      <c r="CC63" s="36"/>
      <c r="CD63" s="36">
        <f t="shared" si="81"/>
        <v>1430</v>
      </c>
    </row>
    <row r="64" spans="1:84">
      <c r="A64" s="34"/>
      <c r="B64" s="35"/>
      <c r="C64" s="35" t="s">
        <v>246</v>
      </c>
      <c r="D64" s="35"/>
      <c r="E64" s="36"/>
      <c r="F64" s="36"/>
      <c r="G64" s="36"/>
      <c r="H64" s="36">
        <v>100</v>
      </c>
      <c r="I64" s="36"/>
      <c r="J64" s="36"/>
      <c r="K64" s="36"/>
      <c r="L64" s="36">
        <f t="shared" si="69"/>
        <v>100</v>
      </c>
      <c r="M64" s="36"/>
      <c r="N64" s="36">
        <v>70</v>
      </c>
      <c r="O64" s="36"/>
      <c r="P64" s="36"/>
      <c r="Q64" s="36"/>
      <c r="R64" s="36">
        <f t="shared" si="70"/>
        <v>170</v>
      </c>
      <c r="S64" s="36"/>
      <c r="T64" s="36"/>
      <c r="U64" s="36"/>
      <c r="V64" s="36"/>
      <c r="W64" s="36"/>
      <c r="X64" s="36">
        <f t="shared" si="71"/>
        <v>170</v>
      </c>
      <c r="Y64" s="36"/>
      <c r="Z64" s="36">
        <v>0</v>
      </c>
      <c r="AA64" s="36"/>
      <c r="AB64" s="36"/>
      <c r="AC64" s="36"/>
      <c r="AD64" s="36">
        <f t="shared" si="80"/>
        <v>170</v>
      </c>
      <c r="AE64" s="36"/>
      <c r="AF64" s="36">
        <v>0</v>
      </c>
      <c r="AG64" s="36"/>
      <c r="AH64" s="36"/>
      <c r="AI64" s="36"/>
      <c r="AJ64" s="36">
        <f t="shared" si="73"/>
        <v>170</v>
      </c>
      <c r="AK64" s="36"/>
      <c r="AL64" s="36"/>
      <c r="AM64" s="36"/>
      <c r="AN64" s="36"/>
      <c r="AO64" s="36"/>
      <c r="AP64" s="36">
        <f t="shared" si="74"/>
        <v>170</v>
      </c>
      <c r="AQ64" s="36"/>
      <c r="AR64" s="36"/>
      <c r="AS64" s="36"/>
      <c r="AT64" s="36"/>
      <c r="AU64" s="36"/>
      <c r="AV64" s="36">
        <f t="shared" si="75"/>
        <v>170</v>
      </c>
      <c r="AW64" s="36"/>
      <c r="AX64" s="36">
        <v>0</v>
      </c>
      <c r="AY64" s="36"/>
      <c r="AZ64" s="36"/>
      <c r="BA64" s="36"/>
      <c r="BB64" s="36">
        <f t="shared" si="76"/>
        <v>170</v>
      </c>
      <c r="BC64" s="36"/>
      <c r="BD64" s="36"/>
      <c r="BE64" s="36"/>
      <c r="BF64" s="36"/>
      <c r="BG64" s="36"/>
      <c r="BH64" s="36">
        <f>SUM(BB64-BC64+BD64-BE64+BF64)</f>
        <v>170</v>
      </c>
      <c r="BI64" s="36"/>
      <c r="BJ64" s="36"/>
      <c r="BK64" s="36"/>
      <c r="BL64" s="36"/>
      <c r="BM64" s="36"/>
      <c r="BN64" s="36">
        <f t="shared" si="77"/>
        <v>170</v>
      </c>
      <c r="BO64" s="36"/>
      <c r="BP64" s="36"/>
      <c r="BQ64" s="36"/>
      <c r="BR64" s="36"/>
      <c r="BS64" s="36"/>
      <c r="BT64" s="36">
        <f t="shared" si="78"/>
        <v>170</v>
      </c>
      <c r="BU64" s="36"/>
      <c r="BV64" s="36"/>
      <c r="BW64" s="36"/>
      <c r="BX64" s="36"/>
      <c r="BY64" s="36"/>
      <c r="BZ64" s="36">
        <f t="shared" si="79"/>
        <v>170</v>
      </c>
      <c r="CA64" s="36"/>
      <c r="CB64" s="36"/>
      <c r="CC64" s="36"/>
      <c r="CD64" s="36">
        <f t="shared" si="81"/>
        <v>170</v>
      </c>
    </row>
    <row r="65" spans="1:84">
      <c r="A65" s="34"/>
      <c r="B65" s="35"/>
      <c r="C65" s="35" t="s">
        <v>344</v>
      </c>
      <c r="D65" s="35"/>
      <c r="E65" s="36"/>
      <c r="F65" s="36"/>
      <c r="G65" s="36"/>
      <c r="H65" s="36">
        <v>40</v>
      </c>
      <c r="I65" s="36"/>
      <c r="J65" s="36"/>
      <c r="K65" s="36"/>
      <c r="L65" s="36">
        <f t="shared" si="69"/>
        <v>40</v>
      </c>
      <c r="M65" s="36"/>
      <c r="N65" s="36">
        <v>60</v>
      </c>
      <c r="O65" s="36"/>
      <c r="P65" s="36"/>
      <c r="Q65" s="36"/>
      <c r="R65" s="36">
        <f t="shared" si="70"/>
        <v>100</v>
      </c>
      <c r="S65" s="36"/>
      <c r="T65" s="36">
        <v>80</v>
      </c>
      <c r="U65" s="36"/>
      <c r="V65" s="36"/>
      <c r="W65" s="36"/>
      <c r="X65" s="36">
        <f t="shared" si="71"/>
        <v>180</v>
      </c>
      <c r="Y65" s="36"/>
      <c r="Z65" s="36">
        <v>20</v>
      </c>
      <c r="AA65" s="36"/>
      <c r="AB65" s="36"/>
      <c r="AC65" s="36"/>
      <c r="AD65" s="36">
        <f t="shared" si="80"/>
        <v>200</v>
      </c>
      <c r="AE65" s="36"/>
      <c r="AF65" s="36">
        <v>100</v>
      </c>
      <c r="AG65" s="36"/>
      <c r="AH65" s="36"/>
      <c r="AI65" s="36"/>
      <c r="AJ65" s="36">
        <f t="shared" si="73"/>
        <v>300</v>
      </c>
      <c r="AK65" s="36"/>
      <c r="AL65" s="36"/>
      <c r="AM65" s="36"/>
      <c r="AN65" s="36"/>
      <c r="AO65" s="36"/>
      <c r="AP65" s="36">
        <f t="shared" si="74"/>
        <v>300</v>
      </c>
      <c r="AQ65" s="36"/>
      <c r="AR65" s="36"/>
      <c r="AS65" s="36"/>
      <c r="AT65" s="36"/>
      <c r="AU65" s="36"/>
      <c r="AV65" s="36">
        <f t="shared" si="75"/>
        <v>300</v>
      </c>
      <c r="AW65" s="36"/>
      <c r="AX65" s="36">
        <v>0</v>
      </c>
      <c r="AY65" s="36"/>
      <c r="AZ65" s="36"/>
      <c r="BA65" s="36"/>
      <c r="BB65" s="36">
        <f t="shared" si="76"/>
        <v>300</v>
      </c>
      <c r="BC65" s="36"/>
      <c r="BD65" s="36"/>
      <c r="BE65" s="36"/>
      <c r="BF65" s="36"/>
      <c r="BG65" s="36"/>
      <c r="BH65" s="36">
        <f t="shared" ref="BH65:BH72" si="82">SUM(BB65-BC65+BD65-BE65+BF65)</f>
        <v>300</v>
      </c>
      <c r="BI65" s="36"/>
      <c r="BJ65" s="36"/>
      <c r="BK65" s="36"/>
      <c r="BL65" s="36"/>
      <c r="BM65" s="36"/>
      <c r="BN65" s="36">
        <f t="shared" si="77"/>
        <v>300</v>
      </c>
      <c r="BO65" s="36"/>
      <c r="BP65" s="36"/>
      <c r="BQ65" s="36"/>
      <c r="BR65" s="36"/>
      <c r="BS65" s="36"/>
      <c r="BT65" s="36">
        <f t="shared" si="78"/>
        <v>300</v>
      </c>
      <c r="BU65" s="36"/>
      <c r="BV65" s="36"/>
      <c r="BW65" s="36"/>
      <c r="BX65" s="36"/>
      <c r="BY65" s="36"/>
      <c r="BZ65" s="36">
        <f t="shared" si="79"/>
        <v>300</v>
      </c>
      <c r="CA65" s="36"/>
      <c r="CB65" s="36"/>
      <c r="CC65" s="36"/>
      <c r="CD65" s="36">
        <f t="shared" si="81"/>
        <v>300</v>
      </c>
    </row>
    <row r="66" spans="1:84">
      <c r="A66" s="34"/>
      <c r="B66" s="35"/>
      <c r="C66" s="35" t="s">
        <v>51</v>
      </c>
      <c r="D66" s="35"/>
      <c r="E66" s="36"/>
      <c r="F66" s="36"/>
      <c r="G66" s="36"/>
      <c r="H66" s="36"/>
      <c r="I66" s="36"/>
      <c r="J66" s="36"/>
      <c r="K66" s="36"/>
      <c r="L66" s="36">
        <f t="shared" si="69"/>
        <v>0</v>
      </c>
      <c r="M66" s="36"/>
      <c r="N66" s="36"/>
      <c r="O66" s="36"/>
      <c r="P66" s="36"/>
      <c r="Q66" s="36"/>
      <c r="R66" s="36">
        <f t="shared" si="70"/>
        <v>0</v>
      </c>
      <c r="S66" s="36"/>
      <c r="T66" s="36"/>
      <c r="U66" s="36"/>
      <c r="V66" s="36"/>
      <c r="W66" s="36"/>
      <c r="X66" s="36">
        <f t="shared" si="71"/>
        <v>0</v>
      </c>
      <c r="Y66" s="36"/>
      <c r="Z66" s="36">
        <v>0</v>
      </c>
      <c r="AA66" s="36"/>
      <c r="AB66" s="36"/>
      <c r="AC66" s="36"/>
      <c r="AD66" s="36">
        <f t="shared" si="80"/>
        <v>0</v>
      </c>
      <c r="AE66" s="36"/>
      <c r="AF66" s="36">
        <v>0</v>
      </c>
      <c r="AG66" s="36"/>
      <c r="AH66" s="36"/>
      <c r="AI66" s="36"/>
      <c r="AJ66" s="36">
        <f t="shared" si="73"/>
        <v>0</v>
      </c>
      <c r="AK66" s="36"/>
      <c r="AL66" s="36"/>
      <c r="AM66" s="36"/>
      <c r="AN66" s="36"/>
      <c r="AO66" s="36"/>
      <c r="AP66" s="36">
        <f t="shared" si="74"/>
        <v>0</v>
      </c>
      <c r="AQ66" s="36"/>
      <c r="AR66" s="36"/>
      <c r="AS66" s="36"/>
      <c r="AT66" s="36"/>
      <c r="AU66" s="36"/>
      <c r="AV66" s="36">
        <f t="shared" si="75"/>
        <v>0</v>
      </c>
      <c r="AW66" s="36"/>
      <c r="AX66" s="36">
        <v>0</v>
      </c>
      <c r="AY66" s="36"/>
      <c r="AZ66" s="36"/>
      <c r="BA66" s="36"/>
      <c r="BB66" s="36">
        <f t="shared" si="76"/>
        <v>0</v>
      </c>
      <c r="BC66" s="36"/>
      <c r="BD66" s="36"/>
      <c r="BE66" s="36"/>
      <c r="BF66" s="36"/>
      <c r="BG66" s="36"/>
      <c r="BH66" s="36">
        <f t="shared" si="82"/>
        <v>0</v>
      </c>
      <c r="BI66" s="36"/>
      <c r="BJ66" s="36">
        <v>0</v>
      </c>
      <c r="BK66" s="36"/>
      <c r="BL66" s="36"/>
      <c r="BM66" s="36"/>
      <c r="BN66" s="36">
        <f t="shared" si="77"/>
        <v>0</v>
      </c>
      <c r="BO66" s="36"/>
      <c r="BP66" s="36"/>
      <c r="BQ66" s="36"/>
      <c r="BR66" s="36"/>
      <c r="BS66" s="36"/>
      <c r="BT66" s="36">
        <f t="shared" si="78"/>
        <v>0</v>
      </c>
      <c r="BU66" s="36"/>
      <c r="BV66" s="36">
        <v>0</v>
      </c>
      <c r="BW66" s="36"/>
      <c r="BX66" s="36"/>
      <c r="BY66" s="36"/>
      <c r="BZ66" s="36">
        <f t="shared" si="79"/>
        <v>0</v>
      </c>
      <c r="CA66" s="36"/>
      <c r="CB66" s="36"/>
      <c r="CC66" s="36"/>
      <c r="CD66" s="15">
        <f t="shared" si="81"/>
        <v>0</v>
      </c>
    </row>
    <row r="67" spans="1:84">
      <c r="A67" s="34"/>
      <c r="B67" s="35"/>
      <c r="C67" s="35" t="s">
        <v>25</v>
      </c>
      <c r="D67" s="35"/>
      <c r="E67" s="36"/>
      <c r="F67" s="36"/>
      <c r="G67" s="36"/>
      <c r="H67" s="36"/>
      <c r="I67" s="36"/>
      <c r="J67" s="36"/>
      <c r="K67" s="36"/>
      <c r="L67" s="36">
        <f t="shared" si="69"/>
        <v>0</v>
      </c>
      <c r="M67" s="36"/>
      <c r="N67" s="36">
        <v>2355</v>
      </c>
      <c r="O67" s="36"/>
      <c r="P67" s="36"/>
      <c r="Q67" s="36"/>
      <c r="R67" s="36">
        <f t="shared" si="70"/>
        <v>2355</v>
      </c>
      <c r="S67" s="36"/>
      <c r="T67" s="36">
        <v>1800</v>
      </c>
      <c r="U67" s="36"/>
      <c r="V67" s="36"/>
      <c r="W67" s="36"/>
      <c r="X67" s="36">
        <f t="shared" si="71"/>
        <v>4155</v>
      </c>
      <c r="Y67" s="36"/>
      <c r="Z67" s="36">
        <v>0</v>
      </c>
      <c r="AA67" s="36"/>
      <c r="AB67" s="36"/>
      <c r="AC67" s="36"/>
      <c r="AD67" s="36">
        <f t="shared" si="80"/>
        <v>4155</v>
      </c>
      <c r="AE67" s="36"/>
      <c r="AF67" s="36">
        <v>0</v>
      </c>
      <c r="AG67" s="36"/>
      <c r="AH67" s="36"/>
      <c r="AI67" s="36"/>
      <c r="AJ67" s="36">
        <f t="shared" si="73"/>
        <v>4155</v>
      </c>
      <c r="AK67" s="36"/>
      <c r="AL67" s="36"/>
      <c r="AM67" s="36"/>
      <c r="AN67" s="36"/>
      <c r="AO67" s="36"/>
      <c r="AP67" s="36">
        <f t="shared" si="74"/>
        <v>4155</v>
      </c>
      <c r="AQ67" s="36"/>
      <c r="AR67" s="36"/>
      <c r="AS67" s="36"/>
      <c r="AT67" s="36"/>
      <c r="AU67" s="36"/>
      <c r="AV67" s="36">
        <f t="shared" si="75"/>
        <v>4155</v>
      </c>
      <c r="AW67" s="36"/>
      <c r="AX67" s="36">
        <v>0</v>
      </c>
      <c r="AY67" s="36"/>
      <c r="AZ67" s="36"/>
      <c r="BA67" s="36"/>
      <c r="BB67" s="36">
        <f t="shared" si="76"/>
        <v>4155</v>
      </c>
      <c r="BC67" s="36"/>
      <c r="BD67" s="36"/>
      <c r="BE67" s="36"/>
      <c r="BF67" s="36"/>
      <c r="BG67" s="36"/>
      <c r="BH67" s="36">
        <f t="shared" si="82"/>
        <v>4155</v>
      </c>
      <c r="BI67" s="36"/>
      <c r="BJ67" s="36">
        <v>0</v>
      </c>
      <c r="BK67" s="36"/>
      <c r="BL67" s="36"/>
      <c r="BM67" s="36"/>
      <c r="BN67" s="36">
        <f t="shared" si="77"/>
        <v>4155</v>
      </c>
      <c r="BO67" s="36"/>
      <c r="BP67" s="36"/>
      <c r="BQ67" s="36"/>
      <c r="BR67" s="36"/>
      <c r="BS67" s="36"/>
      <c r="BT67" s="36">
        <f>SUM(BN67-BO67+BP67-BQ67+BR67)</f>
        <v>4155</v>
      </c>
      <c r="BU67" s="36"/>
      <c r="BV67" s="36">
        <v>0</v>
      </c>
      <c r="BW67" s="36"/>
      <c r="BX67" s="36"/>
      <c r="BY67" s="36"/>
      <c r="BZ67" s="36">
        <f t="shared" si="79"/>
        <v>4155</v>
      </c>
      <c r="CA67" s="36"/>
      <c r="CB67" s="36"/>
      <c r="CC67" s="36"/>
      <c r="CD67" s="36">
        <f>+BZ67+CB67-CA67</f>
        <v>4155</v>
      </c>
    </row>
    <row r="68" spans="1:84">
      <c r="A68" s="34"/>
      <c r="B68" s="35"/>
      <c r="C68" s="35" t="s">
        <v>240</v>
      </c>
      <c r="D68" s="35"/>
      <c r="E68" s="36"/>
      <c r="F68" s="36"/>
      <c r="G68" s="36"/>
      <c r="H68" s="36">
        <v>1500</v>
      </c>
      <c r="I68" s="36"/>
      <c r="J68" s="36"/>
      <c r="K68" s="36"/>
      <c r="L68" s="36">
        <f t="shared" si="69"/>
        <v>1500</v>
      </c>
      <c r="M68" s="36"/>
      <c r="N68" s="36"/>
      <c r="O68" s="36"/>
      <c r="P68" s="36"/>
      <c r="Q68" s="36"/>
      <c r="R68" s="36">
        <f t="shared" si="70"/>
        <v>1500</v>
      </c>
      <c r="S68" s="36"/>
      <c r="T68" s="36">
        <v>1000</v>
      </c>
      <c r="U68" s="36"/>
      <c r="V68" s="36"/>
      <c r="W68" s="36"/>
      <c r="X68" s="36">
        <f t="shared" si="71"/>
        <v>2500</v>
      </c>
      <c r="Y68" s="36"/>
      <c r="Z68" s="36">
        <v>400</v>
      </c>
      <c r="AA68" s="36"/>
      <c r="AB68" s="36"/>
      <c r="AC68" s="36"/>
      <c r="AD68" s="36">
        <f t="shared" si="72"/>
        <v>2900</v>
      </c>
      <c r="AE68" s="36"/>
      <c r="AF68" s="36">
        <v>200</v>
      </c>
      <c r="AG68" s="36"/>
      <c r="AH68" s="36"/>
      <c r="AI68" s="36"/>
      <c r="AJ68" s="36">
        <f t="shared" si="73"/>
        <v>3100</v>
      </c>
      <c r="AK68" s="36"/>
      <c r="AL68" s="36"/>
      <c r="AM68" s="36"/>
      <c r="AN68" s="36"/>
      <c r="AO68" s="36"/>
      <c r="AP68" s="36">
        <f t="shared" si="74"/>
        <v>3100</v>
      </c>
      <c r="AQ68" s="36"/>
      <c r="AR68" s="36"/>
      <c r="AS68" s="36"/>
      <c r="AT68" s="36"/>
      <c r="AU68" s="36"/>
      <c r="AV68" s="36">
        <f t="shared" si="75"/>
        <v>3100</v>
      </c>
      <c r="AW68" s="36"/>
      <c r="AX68" s="36">
        <v>0</v>
      </c>
      <c r="AY68" s="36"/>
      <c r="AZ68" s="36"/>
      <c r="BA68" s="36"/>
      <c r="BB68" s="36">
        <f t="shared" si="76"/>
        <v>3100</v>
      </c>
      <c r="BC68" s="36"/>
      <c r="BD68" s="36"/>
      <c r="BE68" s="36"/>
      <c r="BF68" s="36"/>
      <c r="BG68" s="36"/>
      <c r="BH68" s="36">
        <f t="shared" si="82"/>
        <v>3100</v>
      </c>
      <c r="BI68" s="36"/>
      <c r="BJ68" s="36"/>
      <c r="BK68" s="36"/>
      <c r="BL68" s="36"/>
      <c r="BM68" s="36"/>
      <c r="BN68" s="36">
        <f t="shared" si="77"/>
        <v>3100</v>
      </c>
      <c r="BO68" s="36"/>
      <c r="BP68" s="36"/>
      <c r="BQ68" s="36"/>
      <c r="BR68" s="36"/>
      <c r="BS68" s="36"/>
      <c r="BT68" s="36">
        <f t="shared" si="78"/>
        <v>3100</v>
      </c>
      <c r="BU68" s="36"/>
      <c r="BV68" s="36"/>
      <c r="BW68" s="36"/>
      <c r="BX68" s="36"/>
      <c r="BY68" s="36"/>
      <c r="BZ68" s="36">
        <f t="shared" si="79"/>
        <v>3100</v>
      </c>
      <c r="CA68" s="36"/>
      <c r="CB68" s="36"/>
      <c r="CC68" s="36"/>
      <c r="CD68" s="36">
        <f t="shared" ref="CD68:CD72" si="83">+BZ68+CB68-CA68</f>
        <v>3100</v>
      </c>
    </row>
    <row r="69" spans="1:84">
      <c r="A69" s="34"/>
      <c r="B69" s="35"/>
      <c r="C69" s="35" t="s">
        <v>247</v>
      </c>
      <c r="D69" s="35"/>
      <c r="E69" s="36"/>
      <c r="F69" s="36"/>
      <c r="G69" s="36"/>
      <c r="H69" s="36"/>
      <c r="I69" s="36"/>
      <c r="J69" s="36"/>
      <c r="K69" s="36"/>
      <c r="L69" s="36">
        <f t="shared" si="69"/>
        <v>0</v>
      </c>
      <c r="M69" s="36"/>
      <c r="N69" s="36"/>
      <c r="O69" s="36"/>
      <c r="P69" s="36"/>
      <c r="Q69" s="36"/>
      <c r="R69" s="36">
        <f t="shared" si="70"/>
        <v>0</v>
      </c>
      <c r="S69" s="36"/>
      <c r="T69" s="36"/>
      <c r="U69" s="36"/>
      <c r="V69" s="36"/>
      <c r="W69" s="36"/>
      <c r="X69" s="36">
        <f t="shared" si="71"/>
        <v>0</v>
      </c>
      <c r="Y69" s="36"/>
      <c r="Z69" s="36">
        <v>0</v>
      </c>
      <c r="AA69" s="36"/>
      <c r="AB69" s="36"/>
      <c r="AC69" s="36"/>
      <c r="AD69" s="36">
        <f t="shared" si="72"/>
        <v>0</v>
      </c>
      <c r="AE69" s="36"/>
      <c r="AF69" s="36">
        <v>0</v>
      </c>
      <c r="AG69" s="36"/>
      <c r="AH69" s="36"/>
      <c r="AI69" s="36"/>
      <c r="AJ69" s="36">
        <f t="shared" si="73"/>
        <v>0</v>
      </c>
      <c r="AK69" s="36"/>
      <c r="AL69" s="36"/>
      <c r="AM69" s="36"/>
      <c r="AN69" s="36"/>
      <c r="AO69" s="36"/>
      <c r="AP69" s="36">
        <f t="shared" si="74"/>
        <v>0</v>
      </c>
      <c r="AQ69" s="36"/>
      <c r="AR69" s="36"/>
      <c r="AS69" s="36"/>
      <c r="AT69" s="36"/>
      <c r="AU69" s="36"/>
      <c r="AV69" s="36">
        <f t="shared" si="75"/>
        <v>0</v>
      </c>
      <c r="AW69" s="36"/>
      <c r="AX69" s="36">
        <v>0</v>
      </c>
      <c r="AY69" s="36"/>
      <c r="AZ69" s="36"/>
      <c r="BA69" s="36"/>
      <c r="BB69" s="36">
        <f t="shared" si="76"/>
        <v>0</v>
      </c>
      <c r="BC69" s="36"/>
      <c r="BD69" s="36"/>
      <c r="BE69" s="36"/>
      <c r="BF69" s="36"/>
      <c r="BG69" s="36"/>
      <c r="BH69" s="36">
        <f t="shared" si="82"/>
        <v>0</v>
      </c>
      <c r="BI69" s="36"/>
      <c r="BJ69" s="36"/>
      <c r="BK69" s="36"/>
      <c r="BL69" s="36"/>
      <c r="BM69" s="36"/>
      <c r="BN69" s="36">
        <f t="shared" si="77"/>
        <v>0</v>
      </c>
      <c r="BO69" s="36"/>
      <c r="BP69" s="36"/>
      <c r="BQ69" s="36"/>
      <c r="BR69" s="36"/>
      <c r="BS69" s="36"/>
      <c r="BT69" s="36">
        <f t="shared" si="78"/>
        <v>0</v>
      </c>
      <c r="BU69" s="36"/>
      <c r="BV69" s="36"/>
      <c r="BW69" s="36"/>
      <c r="BX69" s="36"/>
      <c r="BY69" s="36"/>
      <c r="BZ69" s="36">
        <f t="shared" si="79"/>
        <v>0</v>
      </c>
      <c r="CA69" s="36"/>
      <c r="CB69" s="36"/>
      <c r="CC69" s="36"/>
      <c r="CD69" s="36">
        <f t="shared" si="83"/>
        <v>0</v>
      </c>
    </row>
    <row r="70" spans="1:84">
      <c r="A70" s="34"/>
      <c r="B70" s="35"/>
      <c r="C70" s="35" t="s">
        <v>248</v>
      </c>
      <c r="D70" s="35"/>
      <c r="E70" s="36"/>
      <c r="F70" s="36"/>
      <c r="G70" s="36"/>
      <c r="H70" s="36"/>
      <c r="I70" s="36"/>
      <c r="J70" s="36"/>
      <c r="K70" s="36"/>
      <c r="L70" s="36">
        <f t="shared" si="69"/>
        <v>0</v>
      </c>
      <c r="M70" s="36"/>
      <c r="N70" s="36"/>
      <c r="O70" s="36"/>
      <c r="P70" s="36"/>
      <c r="Q70" s="36"/>
      <c r="R70" s="36">
        <f t="shared" si="70"/>
        <v>0</v>
      </c>
      <c r="S70" s="36"/>
      <c r="T70" s="36"/>
      <c r="U70" s="36"/>
      <c r="V70" s="36"/>
      <c r="W70" s="36"/>
      <c r="X70" s="36">
        <f t="shared" si="71"/>
        <v>0</v>
      </c>
      <c r="Y70" s="36"/>
      <c r="Z70" s="36">
        <v>0</v>
      </c>
      <c r="AA70" s="36"/>
      <c r="AB70" s="36"/>
      <c r="AC70" s="36"/>
      <c r="AD70" s="36">
        <f t="shared" si="72"/>
        <v>0</v>
      </c>
      <c r="AE70" s="36"/>
      <c r="AF70" s="36">
        <v>0</v>
      </c>
      <c r="AG70" s="36"/>
      <c r="AH70" s="36"/>
      <c r="AI70" s="36"/>
      <c r="AJ70" s="36">
        <f t="shared" si="73"/>
        <v>0</v>
      </c>
      <c r="AK70" s="36"/>
      <c r="AL70" s="36"/>
      <c r="AM70" s="36"/>
      <c r="AN70" s="36"/>
      <c r="AO70" s="36"/>
      <c r="AP70" s="36">
        <f t="shared" si="74"/>
        <v>0</v>
      </c>
      <c r="AQ70" s="36"/>
      <c r="AR70" s="36"/>
      <c r="AS70" s="36"/>
      <c r="AT70" s="36"/>
      <c r="AU70" s="36"/>
      <c r="AV70" s="36">
        <f t="shared" si="75"/>
        <v>0</v>
      </c>
      <c r="AW70" s="36"/>
      <c r="AX70" s="36"/>
      <c r="AY70" s="36"/>
      <c r="AZ70" s="36"/>
      <c r="BA70" s="36"/>
      <c r="BB70" s="36">
        <f t="shared" si="76"/>
        <v>0</v>
      </c>
      <c r="BC70" s="36"/>
      <c r="BD70" s="36"/>
      <c r="BE70" s="36"/>
      <c r="BF70" s="36"/>
      <c r="BG70" s="36"/>
      <c r="BH70" s="36">
        <f t="shared" si="82"/>
        <v>0</v>
      </c>
      <c r="BI70" s="36"/>
      <c r="BJ70" s="36">
        <v>0</v>
      </c>
      <c r="BK70" s="36"/>
      <c r="BL70" s="36"/>
      <c r="BM70" s="36"/>
      <c r="BN70" s="36">
        <f t="shared" si="77"/>
        <v>0</v>
      </c>
      <c r="BO70" s="36"/>
      <c r="BP70" s="36"/>
      <c r="BQ70" s="36"/>
      <c r="BR70" s="36"/>
      <c r="BS70" s="36"/>
      <c r="BT70" s="36">
        <f t="shared" si="78"/>
        <v>0</v>
      </c>
      <c r="BU70" s="36"/>
      <c r="BV70" s="36"/>
      <c r="BW70" s="36"/>
      <c r="BX70" s="36"/>
      <c r="BY70" s="36"/>
      <c r="BZ70" s="36">
        <f t="shared" si="79"/>
        <v>0</v>
      </c>
      <c r="CA70" s="36"/>
      <c r="CB70" s="36"/>
      <c r="CC70" s="36"/>
      <c r="CD70" s="36">
        <f t="shared" si="83"/>
        <v>0</v>
      </c>
    </row>
    <row r="71" spans="1:84">
      <c r="A71" s="66"/>
      <c r="B71" s="67"/>
      <c r="C71" s="67" t="s">
        <v>249</v>
      </c>
      <c r="D71" s="67"/>
      <c r="E71" s="51"/>
      <c r="F71" s="51"/>
      <c r="G71" s="51"/>
      <c r="H71" s="51">
        <v>0</v>
      </c>
      <c r="I71" s="51"/>
      <c r="J71" s="51"/>
      <c r="K71" s="51"/>
      <c r="L71" s="51">
        <f t="shared" si="69"/>
        <v>0</v>
      </c>
      <c r="M71" s="51"/>
      <c r="N71" s="51"/>
      <c r="O71" s="51"/>
      <c r="P71" s="51"/>
      <c r="Q71" s="51"/>
      <c r="R71" s="51">
        <f t="shared" si="70"/>
        <v>0</v>
      </c>
      <c r="S71" s="51"/>
      <c r="T71" s="51"/>
      <c r="U71" s="51"/>
      <c r="V71" s="51"/>
      <c r="W71" s="51"/>
      <c r="X71" s="51">
        <f t="shared" si="71"/>
        <v>0</v>
      </c>
      <c r="Y71" s="51"/>
      <c r="Z71" s="51">
        <v>0</v>
      </c>
      <c r="AA71" s="51"/>
      <c r="AB71" s="51"/>
      <c r="AC71" s="51"/>
      <c r="AD71" s="51">
        <f t="shared" si="72"/>
        <v>0</v>
      </c>
      <c r="AE71" s="51"/>
      <c r="AF71" s="51">
        <v>0</v>
      </c>
      <c r="AG71" s="51"/>
      <c r="AH71" s="51"/>
      <c r="AI71" s="51"/>
      <c r="AJ71" s="51">
        <f t="shared" si="73"/>
        <v>0</v>
      </c>
      <c r="AK71" s="51"/>
      <c r="AL71" s="51"/>
      <c r="AM71" s="51"/>
      <c r="AN71" s="51"/>
      <c r="AO71" s="51"/>
      <c r="AP71" s="51">
        <f t="shared" si="74"/>
        <v>0</v>
      </c>
      <c r="AQ71" s="51"/>
      <c r="AR71" s="51"/>
      <c r="AS71" s="51"/>
      <c r="AT71" s="51"/>
      <c r="AU71" s="51"/>
      <c r="AV71" s="51">
        <f t="shared" si="75"/>
        <v>0</v>
      </c>
      <c r="AW71" s="51"/>
      <c r="AX71" s="51"/>
      <c r="AY71" s="51"/>
      <c r="AZ71" s="51"/>
      <c r="BA71" s="51"/>
      <c r="BB71" s="51">
        <f t="shared" si="76"/>
        <v>0</v>
      </c>
      <c r="BC71" s="51"/>
      <c r="BD71" s="51"/>
      <c r="BE71" s="51"/>
      <c r="BF71" s="51"/>
      <c r="BG71" s="51"/>
      <c r="BH71" s="51">
        <f t="shared" si="82"/>
        <v>0</v>
      </c>
      <c r="BI71" s="51"/>
      <c r="BJ71" s="51"/>
      <c r="BK71" s="51"/>
      <c r="BL71" s="51"/>
      <c r="BM71" s="51"/>
      <c r="BN71" s="51">
        <f t="shared" si="77"/>
        <v>0</v>
      </c>
      <c r="BO71" s="51"/>
      <c r="BP71" s="51"/>
      <c r="BQ71" s="51"/>
      <c r="BR71" s="51"/>
      <c r="BS71" s="51"/>
      <c r="BT71" s="51">
        <f t="shared" si="78"/>
        <v>0</v>
      </c>
      <c r="BU71" s="51"/>
      <c r="BV71" s="51"/>
      <c r="BW71" s="51"/>
      <c r="BX71" s="51"/>
      <c r="BY71" s="51"/>
      <c r="BZ71" s="51">
        <f t="shared" si="79"/>
        <v>0</v>
      </c>
      <c r="CA71" s="51"/>
      <c r="CB71" s="51"/>
      <c r="CC71" s="51"/>
      <c r="CD71" s="15">
        <f t="shared" si="83"/>
        <v>0</v>
      </c>
    </row>
    <row r="72" spans="1:84" s="67" customFormat="1">
      <c r="A72" s="37"/>
      <c r="B72" s="38"/>
      <c r="C72" s="38" t="s">
        <v>345</v>
      </c>
      <c r="D72" s="38"/>
      <c r="E72" s="39"/>
      <c r="F72" s="39"/>
      <c r="G72" s="39"/>
      <c r="H72" s="39">
        <v>71.75</v>
      </c>
      <c r="I72" s="39"/>
      <c r="J72" s="39"/>
      <c r="K72" s="39"/>
      <c r="L72" s="51">
        <f t="shared" si="69"/>
        <v>71.75</v>
      </c>
      <c r="M72" s="39"/>
      <c r="N72" s="39">
        <v>104.4</v>
      </c>
      <c r="O72" s="39"/>
      <c r="P72" s="39"/>
      <c r="Q72" s="39"/>
      <c r="R72" s="51">
        <f t="shared" si="70"/>
        <v>176.15</v>
      </c>
      <c r="S72" s="39"/>
      <c r="T72" s="39">
        <v>342.35</v>
      </c>
      <c r="U72" s="39"/>
      <c r="V72" s="39"/>
      <c r="W72" s="39"/>
      <c r="X72" s="51">
        <f t="shared" si="71"/>
        <v>518.5</v>
      </c>
      <c r="Y72" s="39"/>
      <c r="Z72" s="39">
        <v>89</v>
      </c>
      <c r="AA72" s="39"/>
      <c r="AB72" s="39"/>
      <c r="AC72" s="39"/>
      <c r="AD72" s="51">
        <f t="shared" si="72"/>
        <v>607.5</v>
      </c>
      <c r="AE72" s="39"/>
      <c r="AF72" s="39">
        <v>79.72</v>
      </c>
      <c r="AG72" s="39"/>
      <c r="AH72" s="39"/>
      <c r="AI72" s="39"/>
      <c r="AJ72" s="51">
        <f t="shared" si="73"/>
        <v>687.22</v>
      </c>
      <c r="AK72" s="39"/>
      <c r="AL72" s="39"/>
      <c r="AM72" s="39"/>
      <c r="AN72" s="39"/>
      <c r="AO72" s="39"/>
      <c r="AP72" s="51">
        <f t="shared" si="74"/>
        <v>687.22</v>
      </c>
      <c r="AQ72" s="39"/>
      <c r="AR72" s="39"/>
      <c r="AS72" s="39"/>
      <c r="AT72" s="39"/>
      <c r="AU72" s="39"/>
      <c r="AV72" s="51">
        <f t="shared" si="75"/>
        <v>687.22</v>
      </c>
      <c r="AW72" s="39"/>
      <c r="AX72" s="39"/>
      <c r="AY72" s="39"/>
      <c r="AZ72" s="39"/>
      <c r="BA72" s="39"/>
      <c r="BB72" s="51">
        <f t="shared" si="76"/>
        <v>687.22</v>
      </c>
      <c r="BC72" s="39"/>
      <c r="BD72" s="39"/>
      <c r="BE72" s="39"/>
      <c r="BF72" s="39"/>
      <c r="BG72" s="39"/>
      <c r="BH72" s="51">
        <f t="shared" si="82"/>
        <v>687.22</v>
      </c>
      <c r="BI72" s="39"/>
      <c r="BJ72" s="39"/>
      <c r="BK72" s="39"/>
      <c r="BL72" s="39"/>
      <c r="BM72" s="39"/>
      <c r="BN72" s="51">
        <f t="shared" si="77"/>
        <v>687.22</v>
      </c>
      <c r="BO72" s="39"/>
      <c r="BP72" s="39"/>
      <c r="BQ72" s="39"/>
      <c r="BR72" s="39"/>
      <c r="BS72" s="39"/>
      <c r="BT72" s="51">
        <f t="shared" si="78"/>
        <v>687.22</v>
      </c>
      <c r="BU72" s="39"/>
      <c r="BV72" s="39"/>
      <c r="BW72" s="39"/>
      <c r="BX72" s="39"/>
      <c r="BY72" s="39"/>
      <c r="BZ72" s="51">
        <f t="shared" si="79"/>
        <v>687.22</v>
      </c>
      <c r="CA72" s="39"/>
      <c r="CB72" s="39"/>
      <c r="CC72" s="39"/>
      <c r="CD72" s="39">
        <f t="shared" si="83"/>
        <v>687.22</v>
      </c>
      <c r="CE72" s="122"/>
      <c r="CF72" s="122"/>
    </row>
    <row r="73" spans="1:84" s="145" customFormat="1">
      <c r="A73" s="140"/>
      <c r="B73" s="141" t="s">
        <v>78</v>
      </c>
      <c r="C73" s="141"/>
      <c r="D73" s="141"/>
      <c r="E73" s="142">
        <f t="shared" ref="E73:N73" si="84">SUM(E74:E76)</f>
        <v>0</v>
      </c>
      <c r="F73" s="142">
        <f t="shared" si="84"/>
        <v>0</v>
      </c>
      <c r="G73" s="142">
        <f t="shared" si="84"/>
        <v>0</v>
      </c>
      <c r="H73" s="142">
        <f>SUM(H74:H76)</f>
        <v>0</v>
      </c>
      <c r="I73" s="142">
        <f t="shared" si="84"/>
        <v>0</v>
      </c>
      <c r="J73" s="142">
        <f t="shared" si="84"/>
        <v>0</v>
      </c>
      <c r="K73" s="142">
        <f t="shared" si="84"/>
        <v>0</v>
      </c>
      <c r="L73" s="142">
        <f>SUM(L74:L76)</f>
        <v>0</v>
      </c>
      <c r="M73" s="142">
        <f t="shared" si="84"/>
        <v>0</v>
      </c>
      <c r="N73" s="142">
        <f t="shared" si="84"/>
        <v>0</v>
      </c>
      <c r="O73" s="142"/>
      <c r="P73" s="142"/>
      <c r="Q73" s="142">
        <f>SUM(Q74:Q76)</f>
        <v>0</v>
      </c>
      <c r="R73" s="142">
        <f>SUM(R74:R76)</f>
        <v>0</v>
      </c>
      <c r="S73" s="142">
        <f>SUM(S74:S76)</f>
        <v>0</v>
      </c>
      <c r="T73" s="142">
        <f>SUM(T74:T76)</f>
        <v>0</v>
      </c>
      <c r="U73" s="142"/>
      <c r="V73" s="142"/>
      <c r="W73" s="142">
        <f>SUM(W74:W76)</f>
        <v>0</v>
      </c>
      <c r="X73" s="142">
        <f>SUM(X74:X76)</f>
        <v>0</v>
      </c>
      <c r="Y73" s="142">
        <f>SUM(Y74:Y76)</f>
        <v>0</v>
      </c>
      <c r="Z73" s="142">
        <f>SUM(Z74:Z76)</f>
        <v>100021.11</v>
      </c>
      <c r="AA73" s="142"/>
      <c r="AB73" s="142"/>
      <c r="AC73" s="142">
        <f>SUM(AC74:AC76)</f>
        <v>0</v>
      </c>
      <c r="AD73" s="142">
        <f>SUM(AD74:AD76)</f>
        <v>100021.11</v>
      </c>
      <c r="AE73" s="142">
        <f>SUM(AE74:AE76)</f>
        <v>0</v>
      </c>
      <c r="AF73" s="173">
        <f>SUM(AF74:AF76)</f>
        <v>0</v>
      </c>
      <c r="AG73" s="142"/>
      <c r="AH73" s="142"/>
      <c r="AI73" s="142">
        <f>SUM(AI74:AI76)</f>
        <v>0</v>
      </c>
      <c r="AJ73" s="142">
        <f>SUM(AJ74:AJ76)</f>
        <v>100021.11</v>
      </c>
      <c r="AK73" s="142">
        <f>SUM(AK74:AK76)</f>
        <v>0</v>
      </c>
      <c r="AL73" s="142">
        <f>SUM(AL74:AL76)</f>
        <v>0</v>
      </c>
      <c r="AM73" s="143"/>
      <c r="AN73" s="143"/>
      <c r="AO73" s="142">
        <f>SUM(AO74:AO76)</f>
        <v>0</v>
      </c>
      <c r="AP73" s="142">
        <f>SUM(AP74:AP76)</f>
        <v>100021.11</v>
      </c>
      <c r="AQ73" s="142">
        <f>SUM(AQ74:AQ76)</f>
        <v>0</v>
      </c>
      <c r="AR73" s="142">
        <f>SUM(AR74:AR76)</f>
        <v>0</v>
      </c>
      <c r="AS73" s="142"/>
      <c r="AT73" s="142"/>
      <c r="AU73" s="142">
        <f t="shared" ref="AU73:BD73" si="85">SUM(AU74:AU76)</f>
        <v>0</v>
      </c>
      <c r="AV73" s="142">
        <f>SUM(AV74:AV76)</f>
        <v>100021.11</v>
      </c>
      <c r="AW73" s="142">
        <f t="shared" si="85"/>
        <v>0</v>
      </c>
      <c r="AX73" s="142">
        <f t="shared" si="85"/>
        <v>0</v>
      </c>
      <c r="AY73" s="142">
        <f t="shared" si="85"/>
        <v>0</v>
      </c>
      <c r="AZ73" s="142">
        <f t="shared" si="85"/>
        <v>0</v>
      </c>
      <c r="BA73" s="142">
        <f t="shared" si="85"/>
        <v>0</v>
      </c>
      <c r="BB73" s="142">
        <f>SUM(BB74:BB76)</f>
        <v>100021.11</v>
      </c>
      <c r="BC73" s="142">
        <f t="shared" si="85"/>
        <v>0</v>
      </c>
      <c r="BD73" s="142">
        <f t="shared" si="85"/>
        <v>0</v>
      </c>
      <c r="BE73" s="142"/>
      <c r="BF73" s="142"/>
      <c r="BG73" s="142">
        <f>SUM(BG74:BG76)</f>
        <v>0</v>
      </c>
      <c r="BH73" s="142">
        <f>SUM(BH74:BH76)</f>
        <v>100021.11</v>
      </c>
      <c r="BI73" s="142">
        <f>SUM(BI74:BI76)</f>
        <v>0</v>
      </c>
      <c r="BJ73" s="142">
        <f>SUM(BJ74:BJ76)</f>
        <v>0</v>
      </c>
      <c r="BK73" s="142"/>
      <c r="BL73" s="142"/>
      <c r="BM73" s="142">
        <f>SUM(BM74:BM76)</f>
        <v>0</v>
      </c>
      <c r="BN73" s="142">
        <f>SUM(BN74:BN76)</f>
        <v>100021.11</v>
      </c>
      <c r="BO73" s="142">
        <f>SUM(BO74:BO76)</f>
        <v>0</v>
      </c>
      <c r="BP73" s="142">
        <f>SUM(BP74:BP76)</f>
        <v>0</v>
      </c>
      <c r="BQ73" s="142"/>
      <c r="BR73" s="142"/>
      <c r="BS73" s="142">
        <f>SUM(BS74:BS76)</f>
        <v>0</v>
      </c>
      <c r="BT73" s="142">
        <f>SUM(BT74:BT76)</f>
        <v>100021.11</v>
      </c>
      <c r="BU73" s="142">
        <f>SUM(BU74:BU76)</f>
        <v>0</v>
      </c>
      <c r="BV73" s="142">
        <f>SUM(BV74:BV76)</f>
        <v>0</v>
      </c>
      <c r="BW73" s="142"/>
      <c r="BX73" s="142"/>
      <c r="BY73" s="142">
        <f t="shared" ref="BY73:CC73" si="86">SUM(BY74:BY76)</f>
        <v>0</v>
      </c>
      <c r="BZ73" s="142">
        <f>SUM(BZ74:BZ76)</f>
        <v>100021.11</v>
      </c>
      <c r="CA73" s="143">
        <f>SUM(CA74:CA76)</f>
        <v>0</v>
      </c>
      <c r="CB73" s="143">
        <f t="shared" si="86"/>
        <v>0</v>
      </c>
      <c r="CC73" s="142">
        <f t="shared" si="86"/>
        <v>0</v>
      </c>
      <c r="CD73" s="142">
        <f>SUM(CD74:CD76)</f>
        <v>100021.11</v>
      </c>
      <c r="CE73" s="144"/>
      <c r="CF73" s="144"/>
    </row>
    <row r="74" spans="1:84">
      <c r="A74" s="31"/>
      <c r="B74" s="32"/>
      <c r="C74" s="32" t="s">
        <v>79</v>
      </c>
      <c r="D74" s="32"/>
      <c r="E74" s="33"/>
      <c r="F74" s="33"/>
      <c r="G74" s="33"/>
      <c r="H74" s="33"/>
      <c r="I74" s="33"/>
      <c r="J74" s="33"/>
      <c r="K74" s="33"/>
      <c r="L74" s="33">
        <f>SUM(F74-G74+H74-I74+J74)</f>
        <v>0</v>
      </c>
      <c r="M74" s="33"/>
      <c r="N74" s="33"/>
      <c r="O74" s="33"/>
      <c r="P74" s="33"/>
      <c r="Q74" s="33"/>
      <c r="R74" s="33">
        <f>SUM(L74-M74+N74-O74+P74)</f>
        <v>0</v>
      </c>
      <c r="S74" s="33"/>
      <c r="T74" s="33"/>
      <c r="U74" s="33"/>
      <c r="V74" s="33"/>
      <c r="W74" s="33"/>
      <c r="X74" s="33">
        <f>SUM(R74-S74+T74-U74+V74)</f>
        <v>0</v>
      </c>
      <c r="Y74" s="33"/>
      <c r="Z74" s="33">
        <v>0</v>
      </c>
      <c r="AA74" s="33"/>
      <c r="AB74" s="33"/>
      <c r="AC74" s="33"/>
      <c r="AD74" s="33">
        <f>SUM(X74-Y74+Z74-AA74+AB74)</f>
        <v>0</v>
      </c>
      <c r="AE74" s="33">
        <v>0</v>
      </c>
      <c r="AF74" s="170"/>
      <c r="AG74" s="33"/>
      <c r="AH74" s="33"/>
      <c r="AI74" s="33"/>
      <c r="AJ74" s="33">
        <f>SUM(AD74-AE74+AF74-AG74+AH74)</f>
        <v>0</v>
      </c>
      <c r="AK74" s="33"/>
      <c r="AL74" s="33"/>
      <c r="AM74" s="33"/>
      <c r="AN74" s="33"/>
      <c r="AO74" s="33"/>
      <c r="AP74" s="33">
        <f>SUM(AJ74-AK74+AL74-AM74+AN74)</f>
        <v>0</v>
      </c>
      <c r="AQ74" s="33"/>
      <c r="AR74" s="33"/>
      <c r="AS74" s="33"/>
      <c r="AT74" s="33"/>
      <c r="AU74" s="33"/>
      <c r="AV74" s="33">
        <f>SUM(AP74-AQ74+AR74-AS74+AT74)</f>
        <v>0</v>
      </c>
      <c r="AW74" s="33"/>
      <c r="AX74" s="33">
        <v>0</v>
      </c>
      <c r="AY74" s="33"/>
      <c r="AZ74" s="33"/>
      <c r="BA74" s="33"/>
      <c r="BB74" s="33">
        <f>SUM(AV74-AW74+AX74-AY74+AZ74)</f>
        <v>0</v>
      </c>
      <c r="BC74" s="33"/>
      <c r="BD74" s="33"/>
      <c r="BE74" s="33"/>
      <c r="BF74" s="33"/>
      <c r="BG74" s="33"/>
      <c r="BH74" s="33">
        <f>SUM(BB74-BC74+BD74-BE74+BF74)</f>
        <v>0</v>
      </c>
      <c r="BI74" s="33"/>
      <c r="BJ74" s="33">
        <v>0</v>
      </c>
      <c r="BK74" s="33"/>
      <c r="BL74" s="33"/>
      <c r="BM74" s="33"/>
      <c r="BN74" s="33">
        <f>SUM(BH74-BI74+BJ74-BK74+BL74)</f>
        <v>0</v>
      </c>
      <c r="BO74" s="33"/>
      <c r="BP74" s="33"/>
      <c r="BQ74" s="33"/>
      <c r="BR74" s="33"/>
      <c r="BS74" s="33"/>
      <c r="BT74" s="33">
        <f>SUM(BN74-BO74+BP74-BQ74+BR74)</f>
        <v>0</v>
      </c>
      <c r="BU74" s="33"/>
      <c r="BV74" s="33"/>
      <c r="BW74" s="33"/>
      <c r="BX74" s="33"/>
      <c r="BY74" s="33"/>
      <c r="BZ74" s="33">
        <f>SUM(BT74-BU74+BV74-BW74+BX74)</f>
        <v>0</v>
      </c>
      <c r="CA74" s="33"/>
      <c r="CB74" s="33"/>
      <c r="CC74" s="33"/>
      <c r="CD74" s="13">
        <f>+BZ74+CB74-CA74</f>
        <v>0</v>
      </c>
    </row>
    <row r="75" spans="1:84">
      <c r="A75" s="34"/>
      <c r="B75" s="35"/>
      <c r="C75" s="35" t="s">
        <v>52</v>
      </c>
      <c r="D75" s="35"/>
      <c r="E75" s="36"/>
      <c r="F75" s="36"/>
      <c r="G75" s="36"/>
      <c r="H75" s="36"/>
      <c r="I75" s="36"/>
      <c r="J75" s="36"/>
      <c r="K75" s="36"/>
      <c r="L75" s="36">
        <f>SUM(F75-G75+H75-I75+J75)</f>
        <v>0</v>
      </c>
      <c r="M75" s="36"/>
      <c r="N75" s="36"/>
      <c r="O75" s="36"/>
      <c r="P75" s="36"/>
      <c r="Q75" s="36"/>
      <c r="R75" s="36">
        <f>SUM(L75-M75+N75-O75+P75)</f>
        <v>0</v>
      </c>
      <c r="S75" s="36"/>
      <c r="T75" s="36"/>
      <c r="U75" s="36"/>
      <c r="V75" s="36"/>
      <c r="W75" s="36"/>
      <c r="X75" s="36">
        <f>SUM(R75-S75+T75-U75+V75)</f>
        <v>0</v>
      </c>
      <c r="Y75" s="36"/>
      <c r="Z75" s="36">
        <v>100021.11</v>
      </c>
      <c r="AA75" s="36"/>
      <c r="AB75" s="36"/>
      <c r="AC75" s="36"/>
      <c r="AD75" s="36">
        <f>SUM(X75-Y75+Z75-AA75+AB75)</f>
        <v>100021.11</v>
      </c>
      <c r="AE75" s="36">
        <v>0</v>
      </c>
      <c r="AF75" s="171"/>
      <c r="AG75" s="36"/>
      <c r="AH75" s="36"/>
      <c r="AI75" s="36"/>
      <c r="AJ75" s="36">
        <f>SUM(AD75-AE75+AF75-AG75+AH75)</f>
        <v>100021.11</v>
      </c>
      <c r="AK75" s="36"/>
      <c r="AL75" s="36"/>
      <c r="AM75" s="36"/>
      <c r="AN75" s="36"/>
      <c r="AO75" s="36"/>
      <c r="AP75" s="36">
        <f>SUM(AJ75-AK75+AL75-AM75+AN75)</f>
        <v>100021.11</v>
      </c>
      <c r="AQ75" s="36"/>
      <c r="AR75" s="36"/>
      <c r="AS75" s="36"/>
      <c r="AT75" s="36"/>
      <c r="AU75" s="36"/>
      <c r="AV75" s="36">
        <f>SUM(AP75-AQ75+AR75-AS75+AT75)</f>
        <v>100021.11</v>
      </c>
      <c r="AW75" s="36"/>
      <c r="AX75" s="36">
        <v>0</v>
      </c>
      <c r="AY75" s="36"/>
      <c r="AZ75" s="36"/>
      <c r="BA75" s="36"/>
      <c r="BB75" s="36">
        <f>SUM(AV75-AW75+AX75-AY75+AZ75)</f>
        <v>100021.11</v>
      </c>
      <c r="BC75" s="36"/>
      <c r="BD75" s="36"/>
      <c r="BE75" s="36"/>
      <c r="BF75" s="36"/>
      <c r="BG75" s="36"/>
      <c r="BH75" s="36">
        <f>SUM(BB75-BC75+BD75-BE75+BF75)</f>
        <v>100021.11</v>
      </c>
      <c r="BI75" s="36"/>
      <c r="BJ75" s="36">
        <v>0</v>
      </c>
      <c r="BK75" s="36"/>
      <c r="BL75" s="36"/>
      <c r="BM75" s="36"/>
      <c r="BN75" s="36">
        <f>SUM(BH75-BI75+BJ75-BK75+BL75)</f>
        <v>100021.11</v>
      </c>
      <c r="BO75" s="36"/>
      <c r="BP75" s="36"/>
      <c r="BQ75" s="36"/>
      <c r="BR75" s="36"/>
      <c r="BS75" s="36"/>
      <c r="BT75" s="36">
        <f>SUM(BN75-BO75+BP75-BQ75+BR75)</f>
        <v>100021.11</v>
      </c>
      <c r="BU75" s="36"/>
      <c r="BV75" s="36"/>
      <c r="BW75" s="36"/>
      <c r="BX75" s="36"/>
      <c r="BY75" s="36"/>
      <c r="BZ75" s="36">
        <f>SUM(BT75-BU75+BV75-BW75+BX75)</f>
        <v>100021.11</v>
      </c>
      <c r="CA75" s="36"/>
      <c r="CB75" s="36"/>
      <c r="CC75" s="36"/>
      <c r="CD75" s="36">
        <f>+BZ75+CB75-CA75</f>
        <v>100021.11</v>
      </c>
    </row>
    <row r="76" spans="1:84">
      <c r="A76" s="37"/>
      <c r="B76" s="38"/>
      <c r="C76" s="38" t="s">
        <v>80</v>
      </c>
      <c r="D76" s="38"/>
      <c r="E76" s="39"/>
      <c r="F76" s="39"/>
      <c r="G76" s="39"/>
      <c r="H76" s="39"/>
      <c r="I76" s="39"/>
      <c r="J76" s="39"/>
      <c r="K76" s="39"/>
      <c r="L76" s="36">
        <f>SUM(F76-G76+H76-I76+J76)</f>
        <v>0</v>
      </c>
      <c r="M76" s="39"/>
      <c r="N76" s="39"/>
      <c r="O76" s="39"/>
      <c r="P76" s="39"/>
      <c r="Q76" s="39"/>
      <c r="R76" s="36">
        <f>SUM(L76-M76+N76-O76+P76)</f>
        <v>0</v>
      </c>
      <c r="S76" s="39"/>
      <c r="T76" s="39"/>
      <c r="U76" s="39"/>
      <c r="V76" s="39"/>
      <c r="W76" s="39"/>
      <c r="X76" s="36">
        <f>SUM(R76-S76+T76-U76+V76)</f>
        <v>0</v>
      </c>
      <c r="Y76" s="39"/>
      <c r="Z76" s="39">
        <v>0</v>
      </c>
      <c r="AA76" s="39"/>
      <c r="AB76" s="39"/>
      <c r="AC76" s="39"/>
      <c r="AD76" s="36">
        <f>SUM(X76-Y76+Z76-AA76+AB76)</f>
        <v>0</v>
      </c>
      <c r="AE76" s="39">
        <v>0</v>
      </c>
      <c r="AF76" s="172"/>
      <c r="AG76" s="39"/>
      <c r="AH76" s="39"/>
      <c r="AI76" s="39"/>
      <c r="AJ76" s="36">
        <f>SUM(AD76-AE76+AF76-AG76+AH76)</f>
        <v>0</v>
      </c>
      <c r="AK76" s="39"/>
      <c r="AL76" s="39"/>
      <c r="AM76" s="39"/>
      <c r="AN76" s="39"/>
      <c r="AO76" s="39"/>
      <c r="AP76" s="36">
        <f>SUM(AJ76-AK76+AL76-AM76+AN76)</f>
        <v>0</v>
      </c>
      <c r="AQ76" s="39"/>
      <c r="AR76" s="39">
        <v>0</v>
      </c>
      <c r="AS76" s="39"/>
      <c r="AT76" s="39"/>
      <c r="AU76" s="39"/>
      <c r="AV76" s="36">
        <f>SUM(AP76-AQ76+AR76-AS76+AT76)</f>
        <v>0</v>
      </c>
      <c r="AW76" s="39"/>
      <c r="AX76" s="39">
        <v>0</v>
      </c>
      <c r="AY76" s="39"/>
      <c r="AZ76" s="39"/>
      <c r="BA76" s="39"/>
      <c r="BB76" s="36">
        <f>SUM(AV76-AW76+AX76-AY76+AZ76)</f>
        <v>0</v>
      </c>
      <c r="BC76" s="39"/>
      <c r="BD76" s="39"/>
      <c r="BE76" s="39"/>
      <c r="BF76" s="39"/>
      <c r="BG76" s="39"/>
      <c r="BH76" s="36">
        <f>SUM(BB76-BC76+BD76-BE76+BF76)</f>
        <v>0</v>
      </c>
      <c r="BI76" s="39"/>
      <c r="BJ76" s="39">
        <v>0</v>
      </c>
      <c r="BK76" s="39"/>
      <c r="BL76" s="39"/>
      <c r="BM76" s="39"/>
      <c r="BN76" s="36">
        <f>SUM(BH76-BI76+BJ76-BK76+BL76)</f>
        <v>0</v>
      </c>
      <c r="BO76" s="39"/>
      <c r="BP76" s="39"/>
      <c r="BQ76" s="39"/>
      <c r="BR76" s="39"/>
      <c r="BS76" s="39"/>
      <c r="BT76" s="36">
        <f>SUM(BN76-BO76+BP76-BQ76+BR76)</f>
        <v>0</v>
      </c>
      <c r="BU76" s="39"/>
      <c r="BV76" s="39"/>
      <c r="BW76" s="39"/>
      <c r="BX76" s="39"/>
      <c r="BY76" s="39"/>
      <c r="BZ76" s="36">
        <f>SUM(BT76-BU76+BV76-BW76+BX76)</f>
        <v>0</v>
      </c>
      <c r="CA76" s="39"/>
      <c r="CB76" s="39"/>
      <c r="CC76" s="39"/>
      <c r="CD76" s="124">
        <f>+BZ76+CB76-CA76</f>
        <v>0</v>
      </c>
    </row>
    <row r="77" spans="1:84" s="145" customFormat="1">
      <c r="A77" s="140"/>
      <c r="B77" s="141" t="s">
        <v>81</v>
      </c>
      <c r="C77" s="141"/>
      <c r="D77" s="141"/>
      <c r="E77" s="142">
        <f t="shared" ref="E77:M77" si="87">SUM(E78)</f>
        <v>0</v>
      </c>
      <c r="F77" s="142">
        <f t="shared" si="87"/>
        <v>0</v>
      </c>
      <c r="G77" s="142">
        <f t="shared" si="87"/>
        <v>0</v>
      </c>
      <c r="H77" s="142">
        <f>SUM(H78)</f>
        <v>21545</v>
      </c>
      <c r="I77" s="142">
        <f t="shared" si="87"/>
        <v>0</v>
      </c>
      <c r="J77" s="142">
        <f t="shared" si="87"/>
        <v>0</v>
      </c>
      <c r="K77" s="142">
        <f t="shared" si="87"/>
        <v>0</v>
      </c>
      <c r="L77" s="142">
        <f>SUM(L78)</f>
        <v>21545</v>
      </c>
      <c r="M77" s="142">
        <f t="shared" si="87"/>
        <v>0</v>
      </c>
      <c r="N77" s="142">
        <f>SUM(N78)</f>
        <v>31535</v>
      </c>
      <c r="O77" s="142"/>
      <c r="P77" s="142"/>
      <c r="Q77" s="142">
        <f>SUM(Q78)</f>
        <v>0</v>
      </c>
      <c r="R77" s="142">
        <f>SUM(R78)</f>
        <v>53080</v>
      </c>
      <c r="S77" s="142">
        <f>SUM(S78)</f>
        <v>0</v>
      </c>
      <c r="T77" s="142">
        <f>SUM(T78)</f>
        <v>19635</v>
      </c>
      <c r="U77" s="142"/>
      <c r="V77" s="142"/>
      <c r="W77" s="142">
        <f>SUM(W78)</f>
        <v>0</v>
      </c>
      <c r="X77" s="142">
        <f>SUM(X78)</f>
        <v>72715</v>
      </c>
      <c r="Y77" s="142">
        <f>SUM(Y78)</f>
        <v>0</v>
      </c>
      <c r="Z77" s="142">
        <f>SUM(Z78)</f>
        <v>29920</v>
      </c>
      <c r="AA77" s="142"/>
      <c r="AB77" s="142"/>
      <c r="AC77" s="142">
        <f>SUM(AC78)</f>
        <v>0</v>
      </c>
      <c r="AD77" s="142">
        <f>SUM(AD78)</f>
        <v>102635</v>
      </c>
      <c r="AE77" s="142">
        <f>SUM(AE78)</f>
        <v>0</v>
      </c>
      <c r="AF77" s="142">
        <f>SUM(AF78)</f>
        <v>18510</v>
      </c>
      <c r="AG77" s="142"/>
      <c r="AH77" s="142"/>
      <c r="AI77" s="142">
        <f>SUM(AI78)</f>
        <v>0</v>
      </c>
      <c r="AJ77" s="142">
        <f>SUM(AJ78)</f>
        <v>121145</v>
      </c>
      <c r="AK77" s="142">
        <f>SUM(AK78)</f>
        <v>0</v>
      </c>
      <c r="AL77" s="142">
        <f>SUM(AL78)</f>
        <v>0</v>
      </c>
      <c r="AM77" s="143"/>
      <c r="AN77" s="143"/>
      <c r="AO77" s="142">
        <f>SUM(AO78)</f>
        <v>0</v>
      </c>
      <c r="AP77" s="142">
        <f>SUM(AP78)</f>
        <v>121145</v>
      </c>
      <c r="AQ77" s="142">
        <f>SUM(AQ78)</f>
        <v>0</v>
      </c>
      <c r="AR77" s="142">
        <f>SUM(AR78)</f>
        <v>0</v>
      </c>
      <c r="AS77" s="142"/>
      <c r="AT77" s="142"/>
      <c r="AU77" s="142">
        <f t="shared" ref="AU77:BD77" si="88">SUM(AU78)</f>
        <v>0</v>
      </c>
      <c r="AV77" s="142">
        <f>SUM(AV78)</f>
        <v>121145</v>
      </c>
      <c r="AW77" s="142">
        <f t="shared" si="88"/>
        <v>0</v>
      </c>
      <c r="AX77" s="142">
        <f t="shared" si="88"/>
        <v>0</v>
      </c>
      <c r="AY77" s="142">
        <f t="shared" si="88"/>
        <v>0</v>
      </c>
      <c r="AZ77" s="142">
        <f t="shared" si="88"/>
        <v>0</v>
      </c>
      <c r="BA77" s="142">
        <f t="shared" si="88"/>
        <v>0</v>
      </c>
      <c r="BB77" s="142">
        <f>SUM(BB78)</f>
        <v>121145</v>
      </c>
      <c r="BC77" s="142">
        <f t="shared" si="88"/>
        <v>0</v>
      </c>
      <c r="BD77" s="142">
        <f t="shared" si="88"/>
        <v>0</v>
      </c>
      <c r="BE77" s="142"/>
      <c r="BF77" s="142"/>
      <c r="BG77" s="142">
        <f>SUM(BG78)</f>
        <v>0</v>
      </c>
      <c r="BH77" s="142">
        <f>SUM(BH78)</f>
        <v>121145</v>
      </c>
      <c r="BI77" s="142">
        <f>SUM(BI78)</f>
        <v>0</v>
      </c>
      <c r="BJ77" s="142">
        <f>SUM(BJ78)</f>
        <v>0</v>
      </c>
      <c r="BK77" s="142"/>
      <c r="BL77" s="142"/>
      <c r="BM77" s="142">
        <f>SUM(BM78)</f>
        <v>0</v>
      </c>
      <c r="BN77" s="142">
        <f>SUM(BN78)</f>
        <v>121145</v>
      </c>
      <c r="BO77" s="142">
        <f>SUM(BO78)</f>
        <v>0</v>
      </c>
      <c r="BP77" s="142">
        <f>SUM(BP78)</f>
        <v>0</v>
      </c>
      <c r="BQ77" s="142"/>
      <c r="BR77" s="142"/>
      <c r="BS77" s="142">
        <f>SUM(BS78)</f>
        <v>0</v>
      </c>
      <c r="BT77" s="142">
        <f>SUM(BT78)</f>
        <v>121145</v>
      </c>
      <c r="BU77" s="142">
        <f>SUM(BU78)</f>
        <v>0</v>
      </c>
      <c r="BV77" s="142">
        <f>SUM(BV78)</f>
        <v>0</v>
      </c>
      <c r="BW77" s="142">
        <f t="shared" ref="BW77:BX77" si="89">SUM(BW78)</f>
        <v>0</v>
      </c>
      <c r="BX77" s="142">
        <f t="shared" si="89"/>
        <v>0</v>
      </c>
      <c r="BY77" s="142">
        <f t="shared" ref="BY77:CC77" si="90">SUM(BY78)</f>
        <v>0</v>
      </c>
      <c r="BZ77" s="142">
        <f t="shared" si="90"/>
        <v>121145</v>
      </c>
      <c r="CA77" s="143">
        <f>SUM(CA78)</f>
        <v>0</v>
      </c>
      <c r="CB77" s="143">
        <f t="shared" si="90"/>
        <v>0</v>
      </c>
      <c r="CC77" s="142">
        <f t="shared" si="90"/>
        <v>0</v>
      </c>
      <c r="CD77" s="142">
        <f>SUM(CD78)</f>
        <v>121145</v>
      </c>
      <c r="CE77" s="144"/>
      <c r="CF77" s="144"/>
    </row>
    <row r="78" spans="1:84">
      <c r="A78" s="12"/>
      <c r="B78" s="24"/>
      <c r="C78" s="24" t="s">
        <v>23</v>
      </c>
      <c r="D78" s="24"/>
      <c r="E78" s="11"/>
      <c r="F78" s="11"/>
      <c r="G78" s="11"/>
      <c r="H78" s="11">
        <v>21545</v>
      </c>
      <c r="I78" s="11"/>
      <c r="J78" s="11"/>
      <c r="K78" s="11"/>
      <c r="L78" s="11">
        <f>SUM(F78-G78+H78-I78+J78)</f>
        <v>21545</v>
      </c>
      <c r="M78" s="11"/>
      <c r="N78" s="11">
        <v>31535</v>
      </c>
      <c r="O78" s="11"/>
      <c r="P78" s="11"/>
      <c r="Q78" s="11"/>
      <c r="R78" s="11">
        <f>SUM(L78-M78+N78-O78+P78)</f>
        <v>53080</v>
      </c>
      <c r="S78" s="11"/>
      <c r="T78" s="11">
        <v>19635</v>
      </c>
      <c r="U78" s="11"/>
      <c r="V78" s="11"/>
      <c r="W78" s="11"/>
      <c r="X78" s="11">
        <f>SUM(R78-S78+T78-U78+V78)</f>
        <v>72715</v>
      </c>
      <c r="Y78" s="11"/>
      <c r="Z78" s="11">
        <v>29920</v>
      </c>
      <c r="AA78" s="11"/>
      <c r="AB78" s="11"/>
      <c r="AC78" s="11"/>
      <c r="AD78" s="11">
        <f>SUM(X78-Y78+Z78-AA78+AB78)</f>
        <v>102635</v>
      </c>
      <c r="AE78" s="11"/>
      <c r="AF78" s="11">
        <v>18510</v>
      </c>
      <c r="AG78" s="11"/>
      <c r="AH78" s="11"/>
      <c r="AI78" s="11"/>
      <c r="AJ78" s="11">
        <f>SUM(AD78-AE78+AF78-AG78+AH78)</f>
        <v>121145</v>
      </c>
      <c r="AK78" s="11"/>
      <c r="AL78" s="11"/>
      <c r="AM78" s="11"/>
      <c r="AN78" s="11"/>
      <c r="AO78" s="11"/>
      <c r="AP78" s="11">
        <f>SUM(AJ78-AK78+AL78-AM78+AN78)</f>
        <v>121145</v>
      </c>
      <c r="AQ78" s="11"/>
      <c r="AR78" s="11"/>
      <c r="AS78" s="11"/>
      <c r="AT78" s="11"/>
      <c r="AU78" s="11"/>
      <c r="AV78" s="11">
        <f>SUM(AP78-AQ78+AR78-AS78+AT78)</f>
        <v>121145</v>
      </c>
      <c r="AW78" s="11"/>
      <c r="AX78" s="11"/>
      <c r="AY78" s="11"/>
      <c r="AZ78" s="11"/>
      <c r="BA78" s="11"/>
      <c r="BB78" s="11">
        <f>SUM(AV78-AW78+AX78-AY78+AZ78)</f>
        <v>121145</v>
      </c>
      <c r="BC78" s="11"/>
      <c r="BD78" s="11"/>
      <c r="BE78" s="11"/>
      <c r="BF78" s="11"/>
      <c r="BG78" s="11"/>
      <c r="BH78" s="11">
        <f>SUM(BB78-BC78+BD78-BE78+BF78)</f>
        <v>121145</v>
      </c>
      <c r="BI78" s="11"/>
      <c r="BJ78" s="11"/>
      <c r="BK78" s="11"/>
      <c r="BL78" s="11"/>
      <c r="BM78" s="11"/>
      <c r="BN78" s="11">
        <f>SUM(BH78-BI78+BJ78-BK78+BL78)</f>
        <v>121145</v>
      </c>
      <c r="BO78" s="11"/>
      <c r="BP78" s="11"/>
      <c r="BQ78" s="11"/>
      <c r="BR78" s="11"/>
      <c r="BS78" s="11"/>
      <c r="BT78" s="11">
        <f>SUM(BN78-BO78+BP78-BQ78+BR78)</f>
        <v>121145</v>
      </c>
      <c r="BU78" s="11"/>
      <c r="BV78" s="11"/>
      <c r="BW78" s="11"/>
      <c r="BX78" s="11"/>
      <c r="BY78" s="11"/>
      <c r="BZ78" s="11">
        <f>SUM(BT78-BU78+BV78-BW78+BX78)</f>
        <v>121145</v>
      </c>
      <c r="CA78" s="11"/>
      <c r="CB78" s="11"/>
      <c r="CC78" s="11"/>
      <c r="CD78" s="11">
        <f>+BZ78-CA78</f>
        <v>121145</v>
      </c>
    </row>
    <row r="79" spans="1:84" s="145" customFormat="1">
      <c r="A79" s="140"/>
      <c r="B79" s="141" t="s">
        <v>82</v>
      </c>
      <c r="C79" s="141"/>
      <c r="D79" s="141"/>
      <c r="E79" s="142">
        <f t="shared" ref="E79:M79" si="91">SUM(E80:E82)</f>
        <v>0</v>
      </c>
      <c r="F79" s="142">
        <f t="shared" si="91"/>
        <v>0</v>
      </c>
      <c r="G79" s="142">
        <f t="shared" si="91"/>
        <v>0</v>
      </c>
      <c r="H79" s="142">
        <f>SUM(H80:H82)</f>
        <v>105</v>
      </c>
      <c r="I79" s="142">
        <f t="shared" si="91"/>
        <v>0</v>
      </c>
      <c r="J79" s="142">
        <f t="shared" si="91"/>
        <v>3</v>
      </c>
      <c r="K79" s="142">
        <f t="shared" si="91"/>
        <v>0</v>
      </c>
      <c r="L79" s="142">
        <f>SUM(L80:L82)</f>
        <v>108</v>
      </c>
      <c r="M79" s="142">
        <f t="shared" si="91"/>
        <v>0</v>
      </c>
      <c r="N79" s="142">
        <f>SUM(N80:N82)</f>
        <v>30540</v>
      </c>
      <c r="O79" s="142"/>
      <c r="P79" s="142"/>
      <c r="Q79" s="142">
        <f>SUM(Q80:Q82)</f>
        <v>0</v>
      </c>
      <c r="R79" s="142">
        <f>SUM(R80:R82)</f>
        <v>30648</v>
      </c>
      <c r="S79" s="142">
        <f>SUM(S80:S82)</f>
        <v>0</v>
      </c>
      <c r="T79" s="142">
        <f>SUM(T80:T82)</f>
        <v>6560</v>
      </c>
      <c r="U79" s="142"/>
      <c r="V79" s="142"/>
      <c r="W79" s="142">
        <f>SUM(W80:W82)</f>
        <v>0</v>
      </c>
      <c r="X79" s="142">
        <f>SUM(X80:X82)</f>
        <v>37208</v>
      </c>
      <c r="Y79" s="142">
        <f>SUM(Y80:Y82)</f>
        <v>0</v>
      </c>
      <c r="Z79" s="142">
        <f>SUM(Z80:Z82)</f>
        <v>2210</v>
      </c>
      <c r="AA79" s="142"/>
      <c r="AB79" s="142"/>
      <c r="AC79" s="142">
        <f>SUM(AC80:AC82)</f>
        <v>0</v>
      </c>
      <c r="AD79" s="142">
        <f>SUM(AD80:AD82)</f>
        <v>39418</v>
      </c>
      <c r="AE79" s="142">
        <f>SUM(AE80:AE82)</f>
        <v>0</v>
      </c>
      <c r="AF79" s="142">
        <f>SUM(AF80:AF82)</f>
        <v>198432.41</v>
      </c>
      <c r="AG79" s="142"/>
      <c r="AH79" s="142"/>
      <c r="AI79" s="142">
        <f>SUM(AI80:AI82)</f>
        <v>0</v>
      </c>
      <c r="AJ79" s="142">
        <f>SUM(AJ80:AJ82)</f>
        <v>237850.92</v>
      </c>
      <c r="AK79" s="142">
        <f>SUM(AK80:AK82)</f>
        <v>0</v>
      </c>
      <c r="AL79" s="142">
        <f>SUM(AL80:AL82)</f>
        <v>0</v>
      </c>
      <c r="AM79" s="143"/>
      <c r="AN79" s="143">
        <f>SUM(AN80:AN82)</f>
        <v>0</v>
      </c>
      <c r="AO79" s="142">
        <f>SUM(AO80:AO82)</f>
        <v>0</v>
      </c>
      <c r="AP79" s="142">
        <f>SUM(AP80:AP82)</f>
        <v>237850.92</v>
      </c>
      <c r="AQ79" s="142">
        <f>SUM(AQ80:AQ82)</f>
        <v>0</v>
      </c>
      <c r="AR79" s="142">
        <f>SUM(AR80:AR82)</f>
        <v>0</v>
      </c>
      <c r="AS79" s="142">
        <f t="shared" ref="AS79:AT79" si="92">SUM(AS80:AS82)</f>
        <v>0</v>
      </c>
      <c r="AT79" s="142">
        <f t="shared" si="92"/>
        <v>0</v>
      </c>
      <c r="AU79" s="142">
        <f t="shared" ref="AU79:BD79" si="93">SUM(AU80:AU82)</f>
        <v>0</v>
      </c>
      <c r="AV79" s="142">
        <f>SUM(AV80:AV82)</f>
        <v>237850.92</v>
      </c>
      <c r="AW79" s="142">
        <f t="shared" si="93"/>
        <v>0</v>
      </c>
      <c r="AX79" s="142">
        <f t="shared" si="93"/>
        <v>0</v>
      </c>
      <c r="AY79" s="142">
        <f t="shared" si="93"/>
        <v>0</v>
      </c>
      <c r="AZ79" s="142">
        <f t="shared" si="93"/>
        <v>0</v>
      </c>
      <c r="BA79" s="142">
        <f t="shared" si="93"/>
        <v>0</v>
      </c>
      <c r="BB79" s="142">
        <f>SUM(BB80:BB82)</f>
        <v>237850.92</v>
      </c>
      <c r="BC79" s="142">
        <f t="shared" si="93"/>
        <v>0</v>
      </c>
      <c r="BD79" s="142">
        <f t="shared" si="93"/>
        <v>0</v>
      </c>
      <c r="BE79" s="142"/>
      <c r="BF79" s="142"/>
      <c r="BG79" s="142">
        <f>SUM(BG80:BG82)</f>
        <v>0</v>
      </c>
      <c r="BH79" s="142">
        <f>SUM(BH80:BH82)</f>
        <v>237850.92</v>
      </c>
      <c r="BI79" s="142">
        <f>SUM(BI80:BI82)</f>
        <v>0</v>
      </c>
      <c r="BJ79" s="142">
        <f>SUM(BJ80:BJ82)</f>
        <v>0</v>
      </c>
      <c r="BK79" s="142"/>
      <c r="BL79" s="142"/>
      <c r="BM79" s="142">
        <f>SUM(BM80:BM82)</f>
        <v>0</v>
      </c>
      <c r="BN79" s="142">
        <f>SUM(BN80:BN82)</f>
        <v>237850.92</v>
      </c>
      <c r="BO79" s="142">
        <f>SUM(BO80:BO82)</f>
        <v>0</v>
      </c>
      <c r="BP79" s="142">
        <f>SUM(BP80:BP82)</f>
        <v>0</v>
      </c>
      <c r="BQ79" s="142"/>
      <c r="BR79" s="142"/>
      <c r="BS79" s="142">
        <f>SUM(BS80:BS82)</f>
        <v>0</v>
      </c>
      <c r="BT79" s="142">
        <f>SUM(BT80:BT82)</f>
        <v>237850.92</v>
      </c>
      <c r="BU79" s="142">
        <f>SUM(BU80:BU82)</f>
        <v>0</v>
      </c>
      <c r="BV79" s="142">
        <f>SUM(BV80:BV82)</f>
        <v>0</v>
      </c>
      <c r="BW79" s="142">
        <f t="shared" ref="BW79" si="94">SUM(BW80:BW82)</f>
        <v>0</v>
      </c>
      <c r="BX79" s="142">
        <f>SUM(BX80:BX82)</f>
        <v>0</v>
      </c>
      <c r="BY79" s="142">
        <f t="shared" ref="BY79:CC79" si="95">SUM(BY80:BY82)</f>
        <v>0</v>
      </c>
      <c r="BZ79" s="142">
        <f t="shared" si="95"/>
        <v>237850.92</v>
      </c>
      <c r="CA79" s="143">
        <f>SUM(CA80:CA82)</f>
        <v>0</v>
      </c>
      <c r="CB79" s="143">
        <f t="shared" si="95"/>
        <v>0</v>
      </c>
      <c r="CC79" s="142">
        <f t="shared" si="95"/>
        <v>0</v>
      </c>
      <c r="CD79" s="142">
        <f>SUM(CD80:CD82)</f>
        <v>237850.92</v>
      </c>
      <c r="CE79" s="144"/>
      <c r="CF79" s="144"/>
    </row>
    <row r="80" spans="1:84">
      <c r="A80" s="31"/>
      <c r="B80" s="32"/>
      <c r="C80" s="32" t="s">
        <v>53</v>
      </c>
      <c r="D80" s="32"/>
      <c r="E80" s="33"/>
      <c r="F80" s="33"/>
      <c r="G80" s="33"/>
      <c r="H80" s="33"/>
      <c r="I80" s="33"/>
      <c r="J80" s="33"/>
      <c r="K80" s="33"/>
      <c r="L80" s="33">
        <f>SUM(F80-G80+H80-I80+J80)</f>
        <v>0</v>
      </c>
      <c r="M80" s="33"/>
      <c r="N80" s="33">
        <v>29500</v>
      </c>
      <c r="O80" s="33"/>
      <c r="P80" s="33"/>
      <c r="Q80" s="33"/>
      <c r="R80" s="33">
        <f>SUM(L80-M80+N80-O80+P80)</f>
        <v>29500</v>
      </c>
      <c r="S80" s="33"/>
      <c r="T80" s="33">
        <v>5000</v>
      </c>
      <c r="U80" s="33"/>
      <c r="V80" s="33"/>
      <c r="W80" s="33"/>
      <c r="X80" s="33">
        <f>SUM(R80-S80+T80-U80+V80)</f>
        <v>34500</v>
      </c>
      <c r="Y80" s="33"/>
      <c r="Z80" s="33">
        <v>0</v>
      </c>
      <c r="AA80" s="33"/>
      <c r="AB80" s="33"/>
      <c r="AC80" s="33"/>
      <c r="AD80" s="33">
        <f>SUM(X80-Y80+Z80-AA80+AB80)</f>
        <v>34500</v>
      </c>
      <c r="AE80" s="33"/>
      <c r="AF80" s="33">
        <v>0</v>
      </c>
      <c r="AG80" s="33"/>
      <c r="AH80" s="33"/>
      <c r="AI80" s="33"/>
      <c r="AJ80" s="33">
        <f>SUM(AD80-AE80+AF80-AG80+AH80)</f>
        <v>34500</v>
      </c>
      <c r="AK80" s="33"/>
      <c r="AL80" s="33"/>
      <c r="AM80" s="33"/>
      <c r="AN80" s="33"/>
      <c r="AO80" s="33"/>
      <c r="AP80" s="33">
        <f>SUM(AJ80-AK80+AL80-AM80+AN80)</f>
        <v>34500</v>
      </c>
      <c r="AQ80" s="33"/>
      <c r="AR80" s="33"/>
      <c r="AS80" s="33"/>
      <c r="AT80" s="33"/>
      <c r="AU80" s="33"/>
      <c r="AV80" s="33">
        <f>SUM(AP80-AQ80+AR80-AS80+AT80)</f>
        <v>34500</v>
      </c>
      <c r="AW80" s="33"/>
      <c r="AX80" s="33">
        <v>0</v>
      </c>
      <c r="AY80" s="33"/>
      <c r="AZ80" s="33"/>
      <c r="BA80" s="33"/>
      <c r="BB80" s="33">
        <f>SUM(AV80-AW80+AX80-AY80+AZ80)</f>
        <v>34500</v>
      </c>
      <c r="BC80" s="33"/>
      <c r="BD80" s="33"/>
      <c r="BE80" s="33"/>
      <c r="BF80" s="33"/>
      <c r="BG80" s="33"/>
      <c r="BH80" s="33">
        <f>SUM(BB80-BC80+BD80-BE80+BF80)</f>
        <v>34500</v>
      </c>
      <c r="BI80" s="33"/>
      <c r="BJ80" s="33">
        <v>0</v>
      </c>
      <c r="BK80" s="33"/>
      <c r="BL80" s="33"/>
      <c r="BM80" s="33"/>
      <c r="BN80" s="33">
        <f>SUM(BH80-BI80+BJ80-BK80+BL80)</f>
        <v>34500</v>
      </c>
      <c r="BO80" s="33"/>
      <c r="BP80" s="33"/>
      <c r="BQ80" s="33"/>
      <c r="BR80" s="33"/>
      <c r="BS80" s="33"/>
      <c r="BT80" s="33">
        <f>SUM(BN80-BO80+BP80-BQ80+BR80)</f>
        <v>34500</v>
      </c>
      <c r="BU80" s="33"/>
      <c r="BV80" s="33"/>
      <c r="BW80" s="33"/>
      <c r="BX80" s="33"/>
      <c r="BY80" s="33"/>
      <c r="BZ80" s="33">
        <f>SUM(BT80-BU80+BV80-BW80+BX80)</f>
        <v>34500</v>
      </c>
      <c r="CA80" s="33"/>
      <c r="CB80" s="33"/>
      <c r="CC80" s="33"/>
      <c r="CD80" s="33">
        <f>SUM(BX80-BY80+BZ80-CA80+CB80)</f>
        <v>34500</v>
      </c>
    </row>
    <row r="81" spans="1:84">
      <c r="A81" s="34"/>
      <c r="B81" s="35"/>
      <c r="C81" s="35" t="s">
        <v>83</v>
      </c>
      <c r="D81" s="35"/>
      <c r="E81" s="36"/>
      <c r="F81" s="36"/>
      <c r="G81" s="36"/>
      <c r="H81" s="36"/>
      <c r="I81" s="36"/>
      <c r="J81" s="36"/>
      <c r="K81" s="36"/>
      <c r="L81" s="36">
        <f>SUM(F81-G81+H81-I81+J81)</f>
        <v>0</v>
      </c>
      <c r="M81" s="36"/>
      <c r="N81" s="36"/>
      <c r="O81" s="36"/>
      <c r="P81" s="36"/>
      <c r="Q81" s="36"/>
      <c r="R81" s="36">
        <f>SUM(L81-M81+N81-O81+P81)</f>
        <v>0</v>
      </c>
      <c r="S81" s="36"/>
      <c r="T81" s="36"/>
      <c r="U81" s="36"/>
      <c r="V81" s="36"/>
      <c r="W81" s="36"/>
      <c r="X81" s="36">
        <f>SUM(R81-S81+T81-U81+V81)</f>
        <v>0</v>
      </c>
      <c r="Y81" s="36"/>
      <c r="Z81" s="36">
        <v>0</v>
      </c>
      <c r="AA81" s="36"/>
      <c r="AB81" s="36"/>
      <c r="AC81" s="36"/>
      <c r="AD81" s="36">
        <f>SUM(X81-Y81+Z81-AA81+AB81)</f>
        <v>0</v>
      </c>
      <c r="AE81" s="36"/>
      <c r="AF81" s="36">
        <v>0</v>
      </c>
      <c r="AG81" s="36"/>
      <c r="AH81" s="36"/>
      <c r="AI81" s="36"/>
      <c r="AJ81" s="36">
        <f>SUM(AD81-AE81+AF81-AG81+AH81)</f>
        <v>0</v>
      </c>
      <c r="AK81" s="36"/>
      <c r="AL81" s="36"/>
      <c r="AM81" s="36"/>
      <c r="AN81" s="36"/>
      <c r="AO81" s="36"/>
      <c r="AP81" s="36">
        <f>SUM(AJ81-AK81+AL81-AM81+AN81)</f>
        <v>0</v>
      </c>
      <c r="AQ81" s="36"/>
      <c r="AR81" s="36"/>
      <c r="AS81" s="36"/>
      <c r="AT81" s="36"/>
      <c r="AU81" s="36"/>
      <c r="AV81" s="36">
        <f>SUM(AP81-AQ81+AR81-AS81+AT81)</f>
        <v>0</v>
      </c>
      <c r="AW81" s="36"/>
      <c r="AX81" s="36">
        <v>0</v>
      </c>
      <c r="AY81" s="36"/>
      <c r="AZ81" s="36"/>
      <c r="BA81" s="36"/>
      <c r="BB81" s="36">
        <f>SUM(AV81-AW81+AX81-AY81+AZ81)</f>
        <v>0</v>
      </c>
      <c r="BC81" s="36"/>
      <c r="BD81" s="36"/>
      <c r="BE81" s="36"/>
      <c r="BF81" s="36"/>
      <c r="BG81" s="36"/>
      <c r="BH81" s="36">
        <f>SUM(BB81-BC81+BD81-BE81+BF81)</f>
        <v>0</v>
      </c>
      <c r="BI81" s="36"/>
      <c r="BJ81" s="36">
        <v>0</v>
      </c>
      <c r="BK81" s="36"/>
      <c r="BL81" s="36"/>
      <c r="BM81" s="36"/>
      <c r="BN81" s="36">
        <f>SUM(BH81-BI81+BJ81-BK81+BL81)</f>
        <v>0</v>
      </c>
      <c r="BO81" s="36"/>
      <c r="BP81" s="36"/>
      <c r="BQ81" s="36"/>
      <c r="BR81" s="36"/>
      <c r="BS81" s="36"/>
      <c r="BT81" s="36">
        <f>SUM(BN81-BO81+BP81-BQ81+BR81)</f>
        <v>0</v>
      </c>
      <c r="BU81" s="36"/>
      <c r="BV81" s="36"/>
      <c r="BW81" s="36"/>
      <c r="BX81" s="36"/>
      <c r="BY81" s="36"/>
      <c r="BZ81" s="36">
        <f>SUM(BT81-BU81+BV81-BW81+BX81)</f>
        <v>0</v>
      </c>
      <c r="CA81" s="36"/>
      <c r="CB81" s="36"/>
      <c r="CC81" s="36"/>
      <c r="CD81" s="36">
        <f>SUM(BX81-BY81+BZ81-CA81+CB81)</f>
        <v>0</v>
      </c>
    </row>
    <row r="82" spans="1:84">
      <c r="A82" s="37"/>
      <c r="B82" s="38"/>
      <c r="C82" s="38" t="s">
        <v>54</v>
      </c>
      <c r="D82" s="38"/>
      <c r="E82" s="39"/>
      <c r="F82" s="39"/>
      <c r="G82" s="39"/>
      <c r="H82" s="39">
        <v>105</v>
      </c>
      <c r="I82" s="39"/>
      <c r="J82" s="39">
        <v>3</v>
      </c>
      <c r="K82" s="39"/>
      <c r="L82" s="36">
        <f>SUM(F82-G82+H82-I82+J82)</f>
        <v>108</v>
      </c>
      <c r="M82" s="39"/>
      <c r="N82" s="39">
        <v>1040</v>
      </c>
      <c r="O82" s="39"/>
      <c r="P82" s="39"/>
      <c r="Q82" s="39"/>
      <c r="R82" s="36">
        <f>SUM(L82-M82+N82-O82+P82)</f>
        <v>1148</v>
      </c>
      <c r="S82" s="39"/>
      <c r="T82" s="39">
        <v>1560</v>
      </c>
      <c r="U82" s="39"/>
      <c r="V82" s="39"/>
      <c r="W82" s="39"/>
      <c r="X82" s="36">
        <f>SUM(R82-S82+T82-U82+V82)</f>
        <v>2708</v>
      </c>
      <c r="Y82" s="39"/>
      <c r="Z82" s="39">
        <v>2210</v>
      </c>
      <c r="AA82" s="39"/>
      <c r="AB82" s="39"/>
      <c r="AC82" s="39"/>
      <c r="AD82" s="36">
        <f>SUM(X82-Y82+Z82-AA82+AB82)</f>
        <v>4918</v>
      </c>
      <c r="AE82" s="39"/>
      <c r="AF82" s="39">
        <v>198432.41</v>
      </c>
      <c r="AG82" s="39"/>
      <c r="AH82" s="39">
        <v>0.51</v>
      </c>
      <c r="AI82" s="39"/>
      <c r="AJ82" s="36">
        <f>SUM(AD82-AE82+AF82-AG82+AH82)</f>
        <v>203350.92</v>
      </c>
      <c r="AK82" s="39"/>
      <c r="AL82" s="39"/>
      <c r="AM82" s="39"/>
      <c r="AN82" s="39"/>
      <c r="AO82" s="39"/>
      <c r="AP82" s="36">
        <f>SUM(AJ82-AK82+AL82-AM82+AN82)</f>
        <v>203350.92</v>
      </c>
      <c r="AQ82" s="39"/>
      <c r="AR82" s="39"/>
      <c r="AS82" s="39"/>
      <c r="AT82" s="39"/>
      <c r="AU82" s="39"/>
      <c r="AV82" s="36">
        <f>SUM(AP82-AQ82+AR82-AS82+AT82)</f>
        <v>203350.92</v>
      </c>
      <c r="AW82" s="39"/>
      <c r="AX82" s="39">
        <v>0</v>
      </c>
      <c r="AY82" s="39"/>
      <c r="AZ82" s="39"/>
      <c r="BA82" s="39"/>
      <c r="BB82" s="36">
        <f>SUM(AV82-AW82+AX82-AY82+AZ82)</f>
        <v>203350.92</v>
      </c>
      <c r="BC82" s="39"/>
      <c r="BD82" s="39"/>
      <c r="BE82" s="39"/>
      <c r="BF82" s="39"/>
      <c r="BG82" s="39"/>
      <c r="BH82" s="36">
        <f>SUM(BB82-BC82+BD82-BE82+BF82)</f>
        <v>203350.92</v>
      </c>
      <c r="BI82" s="39"/>
      <c r="BJ82" s="39"/>
      <c r="BK82" s="39"/>
      <c r="BL82" s="39"/>
      <c r="BM82" s="39"/>
      <c r="BN82" s="36">
        <f>SUM(BH82-BI82+BJ82-BK82+BL82)</f>
        <v>203350.92</v>
      </c>
      <c r="BO82" s="39"/>
      <c r="BP82" s="39"/>
      <c r="BQ82" s="39"/>
      <c r="BR82" s="39"/>
      <c r="BS82" s="39"/>
      <c r="BT82" s="36">
        <f>SUM(BN82-BO82+BP82-BQ82+BR82)</f>
        <v>203350.92</v>
      </c>
      <c r="BU82" s="39"/>
      <c r="BV82" s="39"/>
      <c r="BW82" s="39"/>
      <c r="BX82" s="39"/>
      <c r="BY82" s="39"/>
      <c r="BZ82" s="36">
        <f>SUM(BT82-BU82+BV82-BW82+BX82)</f>
        <v>203350.92</v>
      </c>
      <c r="CA82" s="39"/>
      <c r="CB82" s="39"/>
      <c r="CC82" s="39"/>
      <c r="CD82" s="36">
        <f>+BZ82-CA82</f>
        <v>203350.92</v>
      </c>
    </row>
    <row r="83" spans="1:84" s="145" customFormat="1">
      <c r="A83" s="140"/>
      <c r="B83" s="141" t="s">
        <v>84</v>
      </c>
      <c r="C83" s="141"/>
      <c r="D83" s="141"/>
      <c r="E83" s="142">
        <f t="shared" ref="E83:BZ83" si="96">SUM(E84)</f>
        <v>0</v>
      </c>
      <c r="F83" s="142">
        <f t="shared" si="96"/>
        <v>0</v>
      </c>
      <c r="G83" s="142">
        <f t="shared" si="96"/>
        <v>0</v>
      </c>
      <c r="H83" s="142">
        <f>SUM(H84)</f>
        <v>0</v>
      </c>
      <c r="I83" s="142">
        <f t="shared" si="96"/>
        <v>0</v>
      </c>
      <c r="J83" s="142">
        <f t="shared" si="96"/>
        <v>0</v>
      </c>
      <c r="K83" s="142">
        <f t="shared" si="96"/>
        <v>0</v>
      </c>
      <c r="L83" s="142">
        <f>SUM(L84)</f>
        <v>0</v>
      </c>
      <c r="M83" s="142">
        <f t="shared" si="96"/>
        <v>0</v>
      </c>
      <c r="N83" s="142">
        <f t="shared" si="96"/>
        <v>0</v>
      </c>
      <c r="O83" s="142"/>
      <c r="P83" s="142"/>
      <c r="Q83" s="142">
        <f t="shared" si="96"/>
        <v>0</v>
      </c>
      <c r="R83" s="142">
        <f>SUM(R84)</f>
        <v>0</v>
      </c>
      <c r="S83" s="142">
        <f t="shared" si="96"/>
        <v>0</v>
      </c>
      <c r="T83" s="142">
        <f t="shared" si="96"/>
        <v>0</v>
      </c>
      <c r="U83" s="142"/>
      <c r="V83" s="142"/>
      <c r="W83" s="142">
        <f t="shared" si="96"/>
        <v>0</v>
      </c>
      <c r="X83" s="142">
        <f>SUM(X84)</f>
        <v>0</v>
      </c>
      <c r="Y83" s="142">
        <f t="shared" si="96"/>
        <v>0</v>
      </c>
      <c r="Z83" s="142">
        <f t="shared" si="96"/>
        <v>0</v>
      </c>
      <c r="AA83" s="142"/>
      <c r="AB83" s="142"/>
      <c r="AC83" s="142">
        <f t="shared" si="96"/>
        <v>0</v>
      </c>
      <c r="AD83" s="142">
        <f>SUM(AD84)</f>
        <v>0</v>
      </c>
      <c r="AE83" s="142">
        <f t="shared" si="96"/>
        <v>0</v>
      </c>
      <c r="AF83" s="173">
        <f>SUM(AF84)</f>
        <v>0</v>
      </c>
      <c r="AG83" s="142"/>
      <c r="AH83" s="142"/>
      <c r="AI83" s="142">
        <f t="shared" si="96"/>
        <v>0</v>
      </c>
      <c r="AJ83" s="142">
        <f>SUM(AJ84)</f>
        <v>0</v>
      </c>
      <c r="AK83" s="142">
        <f t="shared" si="96"/>
        <v>0</v>
      </c>
      <c r="AL83" s="142">
        <f t="shared" si="96"/>
        <v>0</v>
      </c>
      <c r="AM83" s="143"/>
      <c r="AN83" s="143"/>
      <c r="AO83" s="142">
        <f t="shared" si="96"/>
        <v>0</v>
      </c>
      <c r="AP83" s="142">
        <f t="shared" si="96"/>
        <v>0</v>
      </c>
      <c r="AQ83" s="142">
        <f t="shared" si="96"/>
        <v>0</v>
      </c>
      <c r="AR83" s="142">
        <f>SUM(AR84)</f>
        <v>0</v>
      </c>
      <c r="AS83" s="142"/>
      <c r="AT83" s="142"/>
      <c r="AU83" s="142">
        <f t="shared" si="96"/>
        <v>0</v>
      </c>
      <c r="AV83" s="142">
        <f>SUM(AV84)</f>
        <v>0</v>
      </c>
      <c r="AW83" s="142">
        <f t="shared" si="96"/>
        <v>0</v>
      </c>
      <c r="AX83" s="142">
        <f t="shared" si="96"/>
        <v>0</v>
      </c>
      <c r="AY83" s="142">
        <f t="shared" si="96"/>
        <v>0</v>
      </c>
      <c r="AZ83" s="142">
        <f t="shared" si="96"/>
        <v>0</v>
      </c>
      <c r="BA83" s="142">
        <f t="shared" si="96"/>
        <v>0</v>
      </c>
      <c r="BB83" s="142">
        <f>SUM(BB84)</f>
        <v>0</v>
      </c>
      <c r="BC83" s="142">
        <f t="shared" si="96"/>
        <v>0</v>
      </c>
      <c r="BD83" s="142">
        <f t="shared" si="96"/>
        <v>0</v>
      </c>
      <c r="BE83" s="142"/>
      <c r="BF83" s="142"/>
      <c r="BG83" s="142">
        <f>SUM(BG84)</f>
        <v>0</v>
      </c>
      <c r="BH83" s="142">
        <f>SUM(BH84)</f>
        <v>0</v>
      </c>
      <c r="BI83" s="142">
        <f t="shared" si="96"/>
        <v>0</v>
      </c>
      <c r="BJ83" s="142">
        <f t="shared" si="96"/>
        <v>0</v>
      </c>
      <c r="BK83" s="142"/>
      <c r="BL83" s="142"/>
      <c r="BM83" s="142">
        <f t="shared" si="96"/>
        <v>0</v>
      </c>
      <c r="BN83" s="142">
        <f>SUM(BN84)</f>
        <v>0</v>
      </c>
      <c r="BO83" s="142">
        <f t="shared" si="96"/>
        <v>0</v>
      </c>
      <c r="BP83" s="142">
        <f>SUM(BP84)</f>
        <v>0</v>
      </c>
      <c r="BQ83" s="142"/>
      <c r="BR83" s="142"/>
      <c r="BS83" s="142">
        <f t="shared" si="96"/>
        <v>0</v>
      </c>
      <c r="BT83" s="142">
        <f>SUM(BT84)</f>
        <v>0</v>
      </c>
      <c r="BU83" s="142">
        <f t="shared" si="96"/>
        <v>0</v>
      </c>
      <c r="BV83" s="142">
        <f t="shared" si="96"/>
        <v>0</v>
      </c>
      <c r="BW83" s="142">
        <f t="shared" si="96"/>
        <v>0</v>
      </c>
      <c r="BX83" s="142">
        <f>SUM(BX84)</f>
        <v>0</v>
      </c>
      <c r="BY83" s="142">
        <f t="shared" si="96"/>
        <v>0</v>
      </c>
      <c r="BZ83" s="142">
        <f t="shared" si="96"/>
        <v>0</v>
      </c>
      <c r="CA83" s="143">
        <f>SUM(CA84)</f>
        <v>0</v>
      </c>
      <c r="CB83" s="143">
        <f>SUM(CB84)</f>
        <v>0</v>
      </c>
      <c r="CC83" s="142">
        <f>SUM(CC84)</f>
        <v>0</v>
      </c>
      <c r="CD83" s="142">
        <f>SUM(CD84)</f>
        <v>0</v>
      </c>
      <c r="CE83" s="144"/>
      <c r="CF83" s="144"/>
    </row>
    <row r="84" spans="1:84">
      <c r="A84" s="12"/>
      <c r="B84" s="24"/>
      <c r="C84" s="24" t="s">
        <v>85</v>
      </c>
      <c r="D84" s="24"/>
      <c r="E84" s="11"/>
      <c r="F84" s="11"/>
      <c r="G84" s="11"/>
      <c r="H84" s="11">
        <v>0</v>
      </c>
      <c r="I84" s="11"/>
      <c r="J84" s="11"/>
      <c r="K84" s="11"/>
      <c r="L84" s="11">
        <f>SUM(F84-G84+H84-I84+J84)</f>
        <v>0</v>
      </c>
      <c r="M84" s="11"/>
      <c r="N84" s="11"/>
      <c r="O84" s="11"/>
      <c r="P84" s="11"/>
      <c r="Q84" s="11"/>
      <c r="R84" s="11">
        <f>SUM(L84-M84+N84-O84+P84)</f>
        <v>0</v>
      </c>
      <c r="S84" s="11"/>
      <c r="T84" s="11"/>
      <c r="U84" s="11"/>
      <c r="V84" s="11"/>
      <c r="W84" s="11"/>
      <c r="X84" s="11">
        <f>SUM(R84-S84+T84-U84+V84)</f>
        <v>0</v>
      </c>
      <c r="Y84" s="11"/>
      <c r="Z84" s="11">
        <v>0</v>
      </c>
      <c r="AA84" s="11"/>
      <c r="AB84" s="11"/>
      <c r="AC84" s="11"/>
      <c r="AD84" s="11">
        <f>SUM(X84-Y84+Z84-AA84+AB84)</f>
        <v>0</v>
      </c>
      <c r="AE84" s="11">
        <v>0</v>
      </c>
      <c r="AF84" s="168"/>
      <c r="AG84" s="11"/>
      <c r="AH84" s="11"/>
      <c r="AI84" s="11"/>
      <c r="AJ84" s="11">
        <f>SUM(AD84-AE84+AF84-AG84+AH84)</f>
        <v>0</v>
      </c>
      <c r="AK84" s="11"/>
      <c r="AL84" s="11"/>
      <c r="AM84" s="11"/>
      <c r="AN84" s="11"/>
      <c r="AO84" s="11"/>
      <c r="AP84" s="11">
        <f>SUM(AJ84-AK84+AL84-AM84+AN84)</f>
        <v>0</v>
      </c>
      <c r="AQ84" s="11"/>
      <c r="AR84" s="11"/>
      <c r="AS84" s="11"/>
      <c r="AT84" s="11"/>
      <c r="AU84" s="11"/>
      <c r="AV84" s="11">
        <f>SUM(AP84-AQ84+AR84-AS84+AT84)</f>
        <v>0</v>
      </c>
      <c r="AW84" s="11"/>
      <c r="AX84" s="11">
        <v>0</v>
      </c>
      <c r="AY84" s="11"/>
      <c r="AZ84" s="11"/>
      <c r="BA84" s="11"/>
      <c r="BB84" s="11">
        <f>SUM(AV84-AW84+AX84-AY84+AZ84)</f>
        <v>0</v>
      </c>
      <c r="BC84" s="11"/>
      <c r="BD84" s="11">
        <v>0</v>
      </c>
      <c r="BE84" s="11"/>
      <c r="BF84" s="11"/>
      <c r="BG84" s="11"/>
      <c r="BH84" s="11">
        <f>SUM(BB84-BC84+BD84-BE84+BF84)</f>
        <v>0</v>
      </c>
      <c r="BI84" s="11"/>
      <c r="BJ84" s="11">
        <v>0</v>
      </c>
      <c r="BK84" s="11"/>
      <c r="BL84" s="11"/>
      <c r="BM84" s="11"/>
      <c r="BN84" s="11">
        <f>SUM(BH84-BI84+BJ84-BK84+BL84)</f>
        <v>0</v>
      </c>
      <c r="BO84" s="11"/>
      <c r="BP84" s="11"/>
      <c r="BQ84" s="11"/>
      <c r="BR84" s="11"/>
      <c r="BS84" s="11"/>
      <c r="BT84" s="11">
        <f>SUM(BN84-BO84+BP84-BQ84+BR84)</f>
        <v>0</v>
      </c>
      <c r="BU84" s="11"/>
      <c r="BV84" s="11">
        <v>0</v>
      </c>
      <c r="BW84" s="11"/>
      <c r="BX84" s="11"/>
      <c r="BY84" s="11"/>
      <c r="BZ84" s="11">
        <f>SUM(BT84-BU84+BV84-BW84+BX84)</f>
        <v>0</v>
      </c>
      <c r="CA84" s="11"/>
      <c r="CB84" s="11"/>
      <c r="CC84" s="11"/>
      <c r="CD84" s="11">
        <f>SUM(BX84-BY84+BZ84-CA84+CB84)</f>
        <v>0</v>
      </c>
    </row>
    <row r="85" spans="1:84" s="145" customFormat="1">
      <c r="A85" s="130" t="s">
        <v>86</v>
      </c>
      <c r="B85" s="131"/>
      <c r="C85" s="131"/>
      <c r="D85" s="131"/>
      <c r="E85" s="132">
        <f>SUM(E86)</f>
        <v>0</v>
      </c>
      <c r="F85" s="132">
        <f t="shared" ref="F85:BQ85" si="97">SUM(F86)</f>
        <v>0</v>
      </c>
      <c r="G85" s="132">
        <f t="shared" si="97"/>
        <v>0</v>
      </c>
      <c r="H85" s="132">
        <f t="shared" si="97"/>
        <v>1292044.94</v>
      </c>
      <c r="I85" s="132">
        <f t="shared" si="97"/>
        <v>0</v>
      </c>
      <c r="J85" s="132">
        <f t="shared" si="97"/>
        <v>0</v>
      </c>
      <c r="K85" s="132">
        <f t="shared" si="97"/>
        <v>0</v>
      </c>
      <c r="L85" s="132">
        <f t="shared" si="97"/>
        <v>1292044.94</v>
      </c>
      <c r="M85" s="132">
        <f t="shared" si="97"/>
        <v>0</v>
      </c>
      <c r="N85" s="132">
        <f t="shared" si="97"/>
        <v>1373029.07</v>
      </c>
      <c r="O85" s="132">
        <f t="shared" si="97"/>
        <v>0</v>
      </c>
      <c r="P85" s="132">
        <f t="shared" si="97"/>
        <v>0</v>
      </c>
      <c r="Q85" s="132">
        <f t="shared" si="97"/>
        <v>0</v>
      </c>
      <c r="R85" s="132">
        <f t="shared" si="97"/>
        <v>2665074.0099999998</v>
      </c>
      <c r="S85" s="132">
        <f t="shared" si="97"/>
        <v>0</v>
      </c>
      <c r="T85" s="132">
        <f t="shared" si="97"/>
        <v>1321388.75</v>
      </c>
      <c r="U85" s="132">
        <f t="shared" si="97"/>
        <v>0</v>
      </c>
      <c r="V85" s="132">
        <f t="shared" si="97"/>
        <v>0</v>
      </c>
      <c r="W85" s="132">
        <f t="shared" si="97"/>
        <v>0</v>
      </c>
      <c r="X85" s="132">
        <f t="shared" si="97"/>
        <v>3986462.76</v>
      </c>
      <c r="Y85" s="132">
        <f t="shared" si="97"/>
        <v>0</v>
      </c>
      <c r="Z85" s="132">
        <f t="shared" si="97"/>
        <v>845975.8600000001</v>
      </c>
      <c r="AA85" s="132">
        <f t="shared" si="97"/>
        <v>0</v>
      </c>
      <c r="AB85" s="132">
        <f t="shared" si="97"/>
        <v>0</v>
      </c>
      <c r="AC85" s="132">
        <f t="shared" si="97"/>
        <v>0</v>
      </c>
      <c r="AD85" s="132">
        <f t="shared" si="97"/>
        <v>4832438.62</v>
      </c>
      <c r="AE85" s="132">
        <f t="shared" si="97"/>
        <v>0</v>
      </c>
      <c r="AF85" s="132">
        <f>SUM(AF86)</f>
        <v>1519961.05</v>
      </c>
      <c r="AG85" s="132">
        <f t="shared" si="97"/>
        <v>0</v>
      </c>
      <c r="AH85" s="132">
        <f t="shared" si="97"/>
        <v>0</v>
      </c>
      <c r="AI85" s="132">
        <f t="shared" si="97"/>
        <v>0</v>
      </c>
      <c r="AJ85" s="132">
        <f t="shared" si="97"/>
        <v>6352399.669999999</v>
      </c>
      <c r="AK85" s="132">
        <f t="shared" si="97"/>
        <v>0</v>
      </c>
      <c r="AL85" s="132">
        <f t="shared" si="97"/>
        <v>0</v>
      </c>
      <c r="AM85" s="133">
        <f t="shared" si="97"/>
        <v>0</v>
      </c>
      <c r="AN85" s="133">
        <f t="shared" si="97"/>
        <v>0</v>
      </c>
      <c r="AO85" s="132">
        <f t="shared" si="97"/>
        <v>0</v>
      </c>
      <c r="AP85" s="132">
        <f t="shared" si="97"/>
        <v>6352399.669999999</v>
      </c>
      <c r="AQ85" s="132">
        <f t="shared" si="97"/>
        <v>0</v>
      </c>
      <c r="AR85" s="132">
        <f t="shared" si="97"/>
        <v>0</v>
      </c>
      <c r="AS85" s="132">
        <f t="shared" si="97"/>
        <v>0</v>
      </c>
      <c r="AT85" s="132">
        <f t="shared" si="97"/>
        <v>0</v>
      </c>
      <c r="AU85" s="132">
        <f t="shared" si="97"/>
        <v>0</v>
      </c>
      <c r="AV85" s="132">
        <f t="shared" si="97"/>
        <v>6352399.669999999</v>
      </c>
      <c r="AW85" s="132">
        <f t="shared" si="97"/>
        <v>0</v>
      </c>
      <c r="AX85" s="132">
        <f t="shared" si="97"/>
        <v>0</v>
      </c>
      <c r="AY85" s="132">
        <f t="shared" si="97"/>
        <v>0</v>
      </c>
      <c r="AZ85" s="132">
        <f t="shared" si="97"/>
        <v>0</v>
      </c>
      <c r="BA85" s="132">
        <f t="shared" si="97"/>
        <v>0</v>
      </c>
      <c r="BB85" s="132">
        <f t="shared" si="97"/>
        <v>6352399.669999999</v>
      </c>
      <c r="BC85" s="132">
        <f t="shared" si="97"/>
        <v>0</v>
      </c>
      <c r="BD85" s="132">
        <f>SUM(BD86)</f>
        <v>0</v>
      </c>
      <c r="BE85" s="132">
        <f t="shared" si="97"/>
        <v>0</v>
      </c>
      <c r="BF85" s="132">
        <f t="shared" si="97"/>
        <v>0</v>
      </c>
      <c r="BG85" s="132">
        <f>SUM(BG86)</f>
        <v>0</v>
      </c>
      <c r="BH85" s="132">
        <f>SUM(BH86)</f>
        <v>6352399.669999999</v>
      </c>
      <c r="BI85" s="132">
        <f t="shared" si="97"/>
        <v>0</v>
      </c>
      <c r="BJ85" s="132">
        <f t="shared" si="97"/>
        <v>0</v>
      </c>
      <c r="BK85" s="132">
        <f t="shared" si="97"/>
        <v>0</v>
      </c>
      <c r="BL85" s="132">
        <f t="shared" si="97"/>
        <v>0</v>
      </c>
      <c r="BM85" s="132">
        <f t="shared" si="97"/>
        <v>0</v>
      </c>
      <c r="BN85" s="132">
        <f>SUM(BN86)</f>
        <v>6352399.669999999</v>
      </c>
      <c r="BO85" s="132">
        <f t="shared" si="97"/>
        <v>0</v>
      </c>
      <c r="BP85" s="132">
        <f t="shared" si="97"/>
        <v>0</v>
      </c>
      <c r="BQ85" s="132">
        <f t="shared" si="97"/>
        <v>0</v>
      </c>
      <c r="BR85" s="132">
        <f t="shared" ref="BR85:CD85" si="98">SUM(BR86)</f>
        <v>0</v>
      </c>
      <c r="BS85" s="132">
        <f t="shared" si="98"/>
        <v>0</v>
      </c>
      <c r="BT85" s="132">
        <f t="shared" si="98"/>
        <v>6352399.669999999</v>
      </c>
      <c r="BU85" s="132">
        <f t="shared" si="98"/>
        <v>0</v>
      </c>
      <c r="BV85" s="132">
        <f t="shared" si="98"/>
        <v>0</v>
      </c>
      <c r="BW85" s="132">
        <f t="shared" si="98"/>
        <v>0</v>
      </c>
      <c r="BX85" s="132">
        <f t="shared" si="98"/>
        <v>0</v>
      </c>
      <c r="BY85" s="132">
        <f t="shared" si="98"/>
        <v>0</v>
      </c>
      <c r="BZ85" s="132">
        <f t="shared" si="98"/>
        <v>6352399.669999999</v>
      </c>
      <c r="CA85" s="133">
        <f t="shared" si="98"/>
        <v>0</v>
      </c>
      <c r="CB85" s="133">
        <f t="shared" si="98"/>
        <v>0</v>
      </c>
      <c r="CC85" s="132">
        <f t="shared" si="98"/>
        <v>0</v>
      </c>
      <c r="CD85" s="132">
        <f t="shared" si="98"/>
        <v>6352399.669999999</v>
      </c>
      <c r="CE85" s="144"/>
      <c r="CF85" s="144"/>
    </row>
    <row r="86" spans="1:84" s="145" customFormat="1">
      <c r="A86" s="136"/>
      <c r="B86" s="137" t="s">
        <v>87</v>
      </c>
      <c r="C86" s="137"/>
      <c r="D86" s="137"/>
      <c r="E86" s="138">
        <f t="shared" ref="E86:M86" si="99">SUM(E87:E95)</f>
        <v>0</v>
      </c>
      <c r="F86" s="138">
        <f t="shared" si="99"/>
        <v>0</v>
      </c>
      <c r="G86" s="138">
        <f t="shared" si="99"/>
        <v>0</v>
      </c>
      <c r="H86" s="138">
        <f t="shared" si="99"/>
        <v>1292044.94</v>
      </c>
      <c r="I86" s="138">
        <f t="shared" si="99"/>
        <v>0</v>
      </c>
      <c r="J86" s="138">
        <f t="shared" si="99"/>
        <v>0</v>
      </c>
      <c r="K86" s="138">
        <f t="shared" si="99"/>
        <v>0</v>
      </c>
      <c r="L86" s="138">
        <f t="shared" si="99"/>
        <v>1292044.94</v>
      </c>
      <c r="M86" s="138">
        <f t="shared" si="99"/>
        <v>0</v>
      </c>
      <c r="N86" s="138">
        <f>SUM(N87:N95)</f>
        <v>1373029.07</v>
      </c>
      <c r="O86" s="138"/>
      <c r="P86" s="138"/>
      <c r="Q86" s="138">
        <f>SUM(Q87:Q95)</f>
        <v>0</v>
      </c>
      <c r="R86" s="138">
        <f>SUM(R87:R95)</f>
        <v>2665074.0099999998</v>
      </c>
      <c r="S86" s="138">
        <f>SUM(S87:S95)</f>
        <v>0</v>
      </c>
      <c r="T86" s="138">
        <f>SUM(T87:T95)</f>
        <v>1321388.75</v>
      </c>
      <c r="U86" s="138"/>
      <c r="V86" s="138"/>
      <c r="W86" s="138">
        <f>SUM(W87:W95)</f>
        <v>0</v>
      </c>
      <c r="X86" s="138">
        <f>SUM(X87:X95)</f>
        <v>3986462.76</v>
      </c>
      <c r="Y86" s="138">
        <f>SUM(Y87:Y95)</f>
        <v>0</v>
      </c>
      <c r="Z86" s="138">
        <f>SUM(Z87:Z95)</f>
        <v>845975.8600000001</v>
      </c>
      <c r="AA86" s="138"/>
      <c r="AB86" s="138"/>
      <c r="AC86" s="138">
        <f>SUM(AC87:AC95)</f>
        <v>0</v>
      </c>
      <c r="AD86" s="138">
        <f>SUM(AD87:AD95)</f>
        <v>4832438.62</v>
      </c>
      <c r="AE86" s="138">
        <f>SUM(AE87:AE95)</f>
        <v>0</v>
      </c>
      <c r="AF86" s="138">
        <f>SUM(AF87:AF95)</f>
        <v>1519961.05</v>
      </c>
      <c r="AG86" s="138"/>
      <c r="AH86" s="138"/>
      <c r="AI86" s="138">
        <f>SUM(AI87:AI95)</f>
        <v>0</v>
      </c>
      <c r="AJ86" s="138">
        <f>SUM(AJ87:AJ95)</f>
        <v>6352399.669999999</v>
      </c>
      <c r="AK86" s="138">
        <f>SUM(AK87:AK95)</f>
        <v>0</v>
      </c>
      <c r="AL86" s="138">
        <f>SUM(AL87:AL95)</f>
        <v>0</v>
      </c>
      <c r="AM86" s="139"/>
      <c r="AN86" s="139"/>
      <c r="AO86" s="138">
        <f>SUM(AO87:AO95)</f>
        <v>0</v>
      </c>
      <c r="AP86" s="138">
        <f>SUM(AP87:AP95)</f>
        <v>6352399.669999999</v>
      </c>
      <c r="AQ86" s="138">
        <f>SUM(AQ87:AQ95)</f>
        <v>0</v>
      </c>
      <c r="AR86" s="138">
        <f>SUM(AR87:AR95)</f>
        <v>0</v>
      </c>
      <c r="AS86" s="138"/>
      <c r="AT86" s="138"/>
      <c r="AU86" s="138">
        <f t="shared" ref="AU86:BD86" si="100">SUM(AU87:AU95)</f>
        <v>0</v>
      </c>
      <c r="AV86" s="138">
        <f t="shared" si="100"/>
        <v>6352399.669999999</v>
      </c>
      <c r="AW86" s="138">
        <f t="shared" si="100"/>
        <v>0</v>
      </c>
      <c r="AX86" s="138">
        <f t="shared" si="100"/>
        <v>0</v>
      </c>
      <c r="AY86" s="138">
        <f t="shared" si="100"/>
        <v>0</v>
      </c>
      <c r="AZ86" s="138">
        <f t="shared" si="100"/>
        <v>0</v>
      </c>
      <c r="BA86" s="138">
        <f t="shared" si="100"/>
        <v>0</v>
      </c>
      <c r="BB86" s="138">
        <f t="shared" si="100"/>
        <v>6352399.669999999</v>
      </c>
      <c r="BC86" s="138">
        <f t="shared" si="100"/>
        <v>0</v>
      </c>
      <c r="BD86" s="138">
        <f t="shared" si="100"/>
        <v>0</v>
      </c>
      <c r="BE86" s="138"/>
      <c r="BF86" s="138"/>
      <c r="BG86" s="138">
        <f>SUM(BG87:BG95)</f>
        <v>0</v>
      </c>
      <c r="BH86" s="138">
        <f>SUM(BH87:BH95)</f>
        <v>6352399.669999999</v>
      </c>
      <c r="BI86" s="138">
        <f>SUM(BI87:BI95)</f>
        <v>0</v>
      </c>
      <c r="BJ86" s="138">
        <f>SUM(BJ87:BJ95)</f>
        <v>0</v>
      </c>
      <c r="BK86" s="138"/>
      <c r="BL86" s="138"/>
      <c r="BM86" s="138">
        <f>SUM(BM87:BM95)</f>
        <v>0</v>
      </c>
      <c r="BN86" s="138">
        <f>SUM(BN87:BN95)</f>
        <v>6352399.669999999</v>
      </c>
      <c r="BO86" s="138">
        <f>SUM(BO87:BO95)</f>
        <v>0</v>
      </c>
      <c r="BP86" s="138">
        <f>SUM(BP87:BP95)</f>
        <v>0</v>
      </c>
      <c r="BQ86" s="138"/>
      <c r="BR86" s="138"/>
      <c r="BS86" s="138">
        <f>SUM(BS87:BS95)</f>
        <v>0</v>
      </c>
      <c r="BT86" s="138">
        <f>SUM(BT87:BT95)</f>
        <v>6352399.669999999</v>
      </c>
      <c r="BU86" s="138">
        <f>SUM(BU87:BU95)</f>
        <v>0</v>
      </c>
      <c r="BV86" s="138">
        <f>SUM(BV87:BV95)</f>
        <v>0</v>
      </c>
      <c r="BW86" s="138"/>
      <c r="BX86" s="138"/>
      <c r="BY86" s="138">
        <f t="shared" ref="BY86:CD86" si="101">SUM(BY87:BY95)</f>
        <v>0</v>
      </c>
      <c r="BZ86" s="138">
        <f t="shared" si="101"/>
        <v>6352399.669999999</v>
      </c>
      <c r="CA86" s="139">
        <f t="shared" si="101"/>
        <v>0</v>
      </c>
      <c r="CB86" s="139">
        <f t="shared" si="101"/>
        <v>0</v>
      </c>
      <c r="CC86" s="138">
        <f t="shared" si="101"/>
        <v>0</v>
      </c>
      <c r="CD86" s="138">
        <f t="shared" si="101"/>
        <v>6352399.669999999</v>
      </c>
      <c r="CE86" s="144"/>
      <c r="CF86" s="144"/>
    </row>
    <row r="87" spans="1:84">
      <c r="A87" s="148"/>
      <c r="B87" s="71"/>
      <c r="C87" s="35" t="s">
        <v>340</v>
      </c>
      <c r="D87" s="71"/>
      <c r="E87" s="124"/>
      <c r="F87" s="124"/>
      <c r="G87" s="124"/>
      <c r="H87" s="124">
        <v>647500.93999999994</v>
      </c>
      <c r="I87" s="124"/>
      <c r="J87" s="124"/>
      <c r="K87" s="124"/>
      <c r="L87" s="124">
        <f>SUM(F87-G87+H87-I87+J87)</f>
        <v>647500.93999999994</v>
      </c>
      <c r="M87" s="124"/>
      <c r="N87" s="124">
        <v>650207.48</v>
      </c>
      <c r="O87" s="124"/>
      <c r="P87" s="124"/>
      <c r="Q87" s="124"/>
      <c r="R87" s="36">
        <f>SUM(L87-M87+N87-O87+P87)</f>
        <v>1297708.42</v>
      </c>
      <c r="S87" s="124"/>
      <c r="T87" s="124">
        <v>659120.24</v>
      </c>
      <c r="U87" s="124"/>
      <c r="V87" s="124"/>
      <c r="W87" s="124"/>
      <c r="X87" s="36">
        <f>SUM(R87-S87+T87-U87+V87)</f>
        <v>1956828.66</v>
      </c>
      <c r="Y87" s="124"/>
      <c r="Z87" s="124"/>
      <c r="AA87" s="124"/>
      <c r="AB87" s="124"/>
      <c r="AC87" s="124"/>
      <c r="AD87" s="36">
        <f t="shared" ref="AD87:AD95" si="102">SUM(X87-Y87+Z87-AA87+AB87)</f>
        <v>1956828.66</v>
      </c>
      <c r="AE87" s="124"/>
      <c r="AF87" s="124">
        <v>898635.01</v>
      </c>
      <c r="AG87" s="124"/>
      <c r="AH87" s="124"/>
      <c r="AI87" s="124"/>
      <c r="AJ87" s="36">
        <f t="shared" ref="AJ87:AJ95" si="103">SUM(AD87-AE87+AF87-AG87+AH87)</f>
        <v>2855463.67</v>
      </c>
      <c r="AK87" s="124"/>
      <c r="AL87" s="124"/>
      <c r="AM87" s="124"/>
      <c r="AN87" s="124"/>
      <c r="AO87" s="124"/>
      <c r="AP87" s="36">
        <f t="shared" ref="AP87:AP95" si="104">SUM(AJ87-AK87+AL87-AM87+AN87)</f>
        <v>2855463.67</v>
      </c>
      <c r="AQ87" s="124"/>
      <c r="AR87" s="124"/>
      <c r="AS87" s="124"/>
      <c r="AT87" s="124"/>
      <c r="AU87" s="124"/>
      <c r="AV87" s="36">
        <f t="shared" ref="AV87:AV95" si="105">SUM(AP87-AQ87+AR87-AS87+AT87)</f>
        <v>2855463.67</v>
      </c>
      <c r="AW87" s="124"/>
      <c r="AX87" s="124"/>
      <c r="AY87" s="124"/>
      <c r="AZ87" s="124"/>
      <c r="BA87" s="124"/>
      <c r="BB87" s="36">
        <f t="shared" ref="BB87:BB95" si="106">SUM(AV87-AW87+AX87-AY87+AZ87)</f>
        <v>2855463.67</v>
      </c>
      <c r="BC87" s="124"/>
      <c r="BD87" s="124"/>
      <c r="BE87" s="124"/>
      <c r="BF87" s="124"/>
      <c r="BG87" s="124"/>
      <c r="BH87" s="36">
        <f>SUM(BB87-BC87+BD87-BE87+BF87)</f>
        <v>2855463.67</v>
      </c>
      <c r="BI87" s="124"/>
      <c r="BJ87" s="124"/>
      <c r="BK87" s="124"/>
      <c r="BL87" s="124"/>
      <c r="BM87" s="124"/>
      <c r="BN87" s="36">
        <f>SUM(BH87-BI87+BJ87-BK87+BL87)</f>
        <v>2855463.67</v>
      </c>
      <c r="BO87" s="124"/>
      <c r="BP87" s="124"/>
      <c r="BQ87" s="124"/>
      <c r="BR87" s="124"/>
      <c r="BS87" s="124"/>
      <c r="BT87" s="36">
        <f t="shared" ref="BT87:BT95" si="107">SUM(BN87-BO87+BP87-BQ87+BR87)</f>
        <v>2855463.67</v>
      </c>
      <c r="BU87" s="124"/>
      <c r="BV87" s="124"/>
      <c r="BW87" s="124"/>
      <c r="BX87" s="124"/>
      <c r="BY87" s="124"/>
      <c r="BZ87" s="36">
        <f t="shared" ref="BZ87:BZ95" si="108">SUM(BT87-BU87+BV87-BW87+BX87)</f>
        <v>2855463.67</v>
      </c>
      <c r="CA87" s="124"/>
      <c r="CB87" s="124"/>
      <c r="CC87" s="124"/>
      <c r="CD87" s="36">
        <f>+BZ87-CA87</f>
        <v>2855463.67</v>
      </c>
    </row>
    <row r="88" spans="1:84">
      <c r="A88" s="34"/>
      <c r="B88" s="35"/>
      <c r="C88" s="35" t="s">
        <v>365</v>
      </c>
      <c r="D88" s="35"/>
      <c r="E88" s="36"/>
      <c r="F88" s="36"/>
      <c r="G88" s="36"/>
      <c r="H88" s="36">
        <v>240718.53</v>
      </c>
      <c r="I88" s="36"/>
      <c r="J88" s="36"/>
      <c r="K88" s="36"/>
      <c r="L88" s="36">
        <f t="shared" ref="L88:L95" si="109">SUM(F88-G88+H88-I88+J88)</f>
        <v>240718.53</v>
      </c>
      <c r="M88" s="36"/>
      <c r="N88" s="36">
        <v>277788.33</v>
      </c>
      <c r="O88" s="36"/>
      <c r="P88" s="36"/>
      <c r="Q88" s="36"/>
      <c r="R88" s="36">
        <f t="shared" ref="R88:R95" si="110">SUM(L88-M88+N88-O88+P88)</f>
        <v>518506.86</v>
      </c>
      <c r="S88" s="36"/>
      <c r="T88" s="36">
        <v>271445.25</v>
      </c>
      <c r="U88" s="36"/>
      <c r="V88" s="36"/>
      <c r="W88" s="36"/>
      <c r="X88" s="36">
        <f t="shared" ref="X88:X95" si="111">SUM(R88-S88+T88-U88+V88)</f>
        <v>789952.11</v>
      </c>
      <c r="Y88" s="36"/>
      <c r="Z88" s="36">
        <v>270889.27</v>
      </c>
      <c r="AA88" s="36"/>
      <c r="AB88" s="36"/>
      <c r="AC88" s="36"/>
      <c r="AD88" s="36">
        <f t="shared" si="102"/>
        <v>1060841.3799999999</v>
      </c>
      <c r="AE88" s="36"/>
      <c r="AF88" s="36">
        <v>0</v>
      </c>
      <c r="AG88" s="36"/>
      <c r="AH88" s="36"/>
      <c r="AI88" s="36"/>
      <c r="AJ88" s="36">
        <f t="shared" si="103"/>
        <v>1060841.3799999999</v>
      </c>
      <c r="AK88" s="36"/>
      <c r="AL88" s="36"/>
      <c r="AM88" s="36"/>
      <c r="AN88" s="36"/>
      <c r="AO88" s="36"/>
      <c r="AP88" s="36">
        <f t="shared" si="104"/>
        <v>1060841.3799999999</v>
      </c>
      <c r="AQ88" s="36"/>
      <c r="AR88" s="36"/>
      <c r="AS88" s="36"/>
      <c r="AT88" s="36"/>
      <c r="AU88" s="36"/>
      <c r="AV88" s="36">
        <f t="shared" si="105"/>
        <v>1060841.3799999999</v>
      </c>
      <c r="AW88" s="36"/>
      <c r="AX88" s="36"/>
      <c r="AY88" s="36"/>
      <c r="AZ88" s="36"/>
      <c r="BA88" s="36"/>
      <c r="BB88" s="36">
        <f t="shared" si="106"/>
        <v>1060841.3799999999</v>
      </c>
      <c r="BC88" s="36"/>
      <c r="BD88" s="36"/>
      <c r="BE88" s="36"/>
      <c r="BF88" s="36"/>
      <c r="BG88" s="36"/>
      <c r="BH88" s="36">
        <f>SUM(BB88-BC88+BD88-BE88+BF88)</f>
        <v>1060841.3799999999</v>
      </c>
      <c r="BI88" s="36"/>
      <c r="BJ88" s="36">
        <v>0</v>
      </c>
      <c r="BK88" s="36"/>
      <c r="BL88" s="36"/>
      <c r="BM88" s="36"/>
      <c r="BN88" s="36">
        <f>SUM(BH88-BI88+BJ88-BK88+BL88)</f>
        <v>1060841.3799999999</v>
      </c>
      <c r="BO88" s="36"/>
      <c r="BP88" s="36"/>
      <c r="BQ88" s="36"/>
      <c r="BR88" s="36"/>
      <c r="BS88" s="36"/>
      <c r="BT88" s="36">
        <f t="shared" si="107"/>
        <v>1060841.3799999999</v>
      </c>
      <c r="BU88" s="36"/>
      <c r="BV88" s="36"/>
      <c r="BW88" s="36"/>
      <c r="BX88" s="36"/>
      <c r="BY88" s="36"/>
      <c r="BZ88" s="36">
        <f t="shared" si="108"/>
        <v>1060841.3799999999</v>
      </c>
      <c r="CA88" s="36"/>
      <c r="CB88" s="36"/>
      <c r="CC88" s="36"/>
      <c r="CD88" s="36">
        <f>+BZ88-CA88</f>
        <v>1060841.3799999999</v>
      </c>
    </row>
    <row r="89" spans="1:84">
      <c r="A89" s="34"/>
      <c r="B89" s="35"/>
      <c r="C89" s="35" t="s">
        <v>42</v>
      </c>
      <c r="D89" s="35"/>
      <c r="E89" s="36"/>
      <c r="F89" s="36"/>
      <c r="G89" s="36"/>
      <c r="H89" s="36"/>
      <c r="I89" s="36"/>
      <c r="J89" s="36"/>
      <c r="K89" s="36"/>
      <c r="L89" s="36">
        <f t="shared" si="109"/>
        <v>0</v>
      </c>
      <c r="M89" s="36"/>
      <c r="N89" s="36">
        <v>0</v>
      </c>
      <c r="O89" s="36"/>
      <c r="P89" s="36"/>
      <c r="Q89" s="36"/>
      <c r="R89" s="36">
        <f t="shared" si="110"/>
        <v>0</v>
      </c>
      <c r="S89" s="36"/>
      <c r="T89" s="36">
        <v>0</v>
      </c>
      <c r="U89" s="36"/>
      <c r="V89" s="36"/>
      <c r="W89" s="36"/>
      <c r="X89" s="36">
        <f t="shared" si="111"/>
        <v>0</v>
      </c>
      <c r="Y89" s="36"/>
      <c r="Z89" s="36">
        <v>28733.759999999998</v>
      </c>
      <c r="AA89" s="36"/>
      <c r="AB89" s="36"/>
      <c r="AC89" s="36"/>
      <c r="AD89" s="36">
        <f t="shared" si="102"/>
        <v>28733.759999999998</v>
      </c>
      <c r="AE89" s="36"/>
      <c r="AF89" s="36">
        <v>0</v>
      </c>
      <c r="AG89" s="36"/>
      <c r="AH89" s="36"/>
      <c r="AI89" s="36"/>
      <c r="AJ89" s="36">
        <f t="shared" si="103"/>
        <v>28733.759999999998</v>
      </c>
      <c r="AK89" s="36"/>
      <c r="AL89" s="36"/>
      <c r="AM89" s="36"/>
      <c r="AN89" s="36"/>
      <c r="AO89" s="36"/>
      <c r="AP89" s="36">
        <f t="shared" si="104"/>
        <v>28733.759999999998</v>
      </c>
      <c r="AQ89" s="36"/>
      <c r="AR89" s="36"/>
      <c r="AS89" s="36"/>
      <c r="AT89" s="36"/>
      <c r="AU89" s="36"/>
      <c r="AV89" s="36">
        <f t="shared" si="105"/>
        <v>28733.759999999998</v>
      </c>
      <c r="AW89" s="36"/>
      <c r="AX89" s="36"/>
      <c r="AY89" s="36"/>
      <c r="AZ89" s="36"/>
      <c r="BA89" s="36"/>
      <c r="BB89" s="36">
        <f t="shared" si="106"/>
        <v>28733.759999999998</v>
      </c>
      <c r="BC89" s="36"/>
      <c r="BD89" s="36"/>
      <c r="BE89" s="36"/>
      <c r="BF89" s="36"/>
      <c r="BG89" s="36"/>
      <c r="BH89" s="36">
        <f t="shared" ref="BH89:BH95" si="112">SUM(BB89-BC89+BD89-BE89+BF89)</f>
        <v>28733.759999999998</v>
      </c>
      <c r="BI89" s="36"/>
      <c r="BJ89" s="36">
        <v>0</v>
      </c>
      <c r="BK89" s="36"/>
      <c r="BL89" s="36"/>
      <c r="BM89" s="36"/>
      <c r="BN89" s="36">
        <f t="shared" ref="BN89:BN95" si="113">SUM(BH89-BI89+BJ89-BK89+BL89)</f>
        <v>28733.759999999998</v>
      </c>
      <c r="BO89" s="36"/>
      <c r="BP89" s="36"/>
      <c r="BQ89" s="36"/>
      <c r="BR89" s="36"/>
      <c r="BS89" s="36"/>
      <c r="BT89" s="36">
        <f t="shared" si="107"/>
        <v>28733.759999999998</v>
      </c>
      <c r="BU89" s="36"/>
      <c r="BV89" s="36"/>
      <c r="BW89" s="36"/>
      <c r="BX89" s="36"/>
      <c r="BY89" s="36"/>
      <c r="BZ89" s="36">
        <f t="shared" si="108"/>
        <v>28733.759999999998</v>
      </c>
      <c r="CA89" s="36"/>
      <c r="CB89" s="36"/>
      <c r="CC89" s="36"/>
      <c r="CD89" s="36">
        <f>+BZ89-CA89</f>
        <v>28733.759999999998</v>
      </c>
    </row>
    <row r="90" spans="1:84">
      <c r="A90" s="34"/>
      <c r="B90" s="35"/>
      <c r="C90" s="35" t="s">
        <v>40</v>
      </c>
      <c r="D90" s="35"/>
      <c r="E90" s="36"/>
      <c r="F90" s="36"/>
      <c r="G90" s="36"/>
      <c r="H90" s="36">
        <v>114004.59</v>
      </c>
      <c r="I90" s="36"/>
      <c r="J90" s="36"/>
      <c r="K90" s="36"/>
      <c r="L90" s="36">
        <f t="shared" si="109"/>
        <v>114004.59</v>
      </c>
      <c r="M90" s="36"/>
      <c r="N90" s="36">
        <v>129740.98</v>
      </c>
      <c r="O90" s="36"/>
      <c r="P90" s="36"/>
      <c r="Q90" s="36"/>
      <c r="R90" s="36">
        <f t="shared" si="110"/>
        <v>243745.57</v>
      </c>
      <c r="S90" s="36"/>
      <c r="T90" s="36">
        <v>135624.49</v>
      </c>
      <c r="U90" s="36"/>
      <c r="V90" s="36"/>
      <c r="W90" s="36"/>
      <c r="X90" s="36">
        <f>SUM(R90-S90+T90-U90+V90)</f>
        <v>379370.06</v>
      </c>
      <c r="Y90" s="36"/>
      <c r="Z90" s="36">
        <v>165372.57</v>
      </c>
      <c r="AA90" s="36"/>
      <c r="AB90" s="36"/>
      <c r="AC90" s="36"/>
      <c r="AD90" s="36">
        <f t="shared" si="102"/>
        <v>544742.63</v>
      </c>
      <c r="AE90" s="36"/>
      <c r="AF90" s="36">
        <v>147464.31</v>
      </c>
      <c r="AG90" s="36"/>
      <c r="AH90" s="36"/>
      <c r="AI90" s="36"/>
      <c r="AJ90" s="36">
        <f t="shared" si="103"/>
        <v>692206.94</v>
      </c>
      <c r="AK90" s="36"/>
      <c r="AL90" s="36"/>
      <c r="AM90" s="36"/>
      <c r="AN90" s="36"/>
      <c r="AO90" s="36"/>
      <c r="AP90" s="36">
        <f t="shared" si="104"/>
        <v>692206.94</v>
      </c>
      <c r="AQ90" s="36"/>
      <c r="AR90" s="36"/>
      <c r="AS90" s="36"/>
      <c r="AT90" s="36"/>
      <c r="AU90" s="36"/>
      <c r="AV90" s="36">
        <f t="shared" si="105"/>
        <v>692206.94</v>
      </c>
      <c r="AW90" s="36"/>
      <c r="AX90" s="36"/>
      <c r="AY90" s="36"/>
      <c r="AZ90" s="36"/>
      <c r="BA90" s="36"/>
      <c r="BB90" s="36">
        <f t="shared" si="106"/>
        <v>692206.94</v>
      </c>
      <c r="BC90" s="36"/>
      <c r="BD90" s="36"/>
      <c r="BE90" s="36"/>
      <c r="BF90" s="36"/>
      <c r="BG90" s="36"/>
      <c r="BH90" s="36">
        <f t="shared" si="112"/>
        <v>692206.94</v>
      </c>
      <c r="BI90" s="36"/>
      <c r="BJ90" s="36">
        <v>0</v>
      </c>
      <c r="BL90" s="36"/>
      <c r="BM90" s="36"/>
      <c r="BN90" s="36">
        <f>SUM(BH90-BI90+BJ90-BK90+BL90)</f>
        <v>692206.94</v>
      </c>
      <c r="BO90" s="36"/>
      <c r="BP90" s="36"/>
      <c r="BQ90" s="36"/>
      <c r="BR90" s="36"/>
      <c r="BS90" s="36"/>
      <c r="BT90" s="36">
        <f t="shared" si="107"/>
        <v>692206.94</v>
      </c>
      <c r="BU90" s="36"/>
      <c r="BV90" s="36"/>
      <c r="BW90" s="36"/>
      <c r="BX90" s="36"/>
      <c r="BY90" s="36"/>
      <c r="BZ90" s="36">
        <f t="shared" si="108"/>
        <v>692206.94</v>
      </c>
      <c r="CA90" s="36"/>
      <c r="CB90" s="36"/>
      <c r="CC90" s="36"/>
      <c r="CD90" s="36">
        <f>+BZ90-CA90</f>
        <v>692206.94</v>
      </c>
    </row>
    <row r="91" spans="1:84">
      <c r="A91" s="34"/>
      <c r="B91" s="35"/>
      <c r="C91" s="35" t="s">
        <v>41</v>
      </c>
      <c r="D91" s="35"/>
      <c r="E91" s="36"/>
      <c r="F91" s="36"/>
      <c r="G91" s="36"/>
      <c r="H91" s="36">
        <v>246143.31</v>
      </c>
      <c r="I91" s="36"/>
      <c r="J91" s="36"/>
      <c r="K91" s="36"/>
      <c r="L91" s="36">
        <f t="shared" si="109"/>
        <v>246143.31</v>
      </c>
      <c r="M91" s="36"/>
      <c r="N91" s="36">
        <v>273392.28000000003</v>
      </c>
      <c r="O91" s="36"/>
      <c r="P91" s="36"/>
      <c r="Q91" s="36"/>
      <c r="R91" s="36">
        <f>SUM(L91-M91+N91-O91+P91)</f>
        <v>519535.59</v>
      </c>
      <c r="S91" s="36"/>
      <c r="T91" s="36">
        <v>255198.77</v>
      </c>
      <c r="U91" s="36"/>
      <c r="V91" s="36"/>
      <c r="W91" s="36"/>
      <c r="X91" s="36">
        <f>SUM(R91-S91+T91-U91+V91)</f>
        <v>774734.36</v>
      </c>
      <c r="Y91" s="36"/>
      <c r="Z91" s="36">
        <v>303060.26</v>
      </c>
      <c r="AA91" s="36"/>
      <c r="AB91" s="36"/>
      <c r="AC91" s="36"/>
      <c r="AD91" s="36">
        <f t="shared" si="102"/>
        <v>1077794.6200000001</v>
      </c>
      <c r="AE91" s="36"/>
      <c r="AF91" s="36">
        <v>354863.98</v>
      </c>
      <c r="AG91" s="36"/>
      <c r="AH91" s="36"/>
      <c r="AI91" s="36"/>
      <c r="AJ91" s="36">
        <f t="shared" si="103"/>
        <v>1432658.6</v>
      </c>
      <c r="AK91" s="36"/>
      <c r="AL91" s="36"/>
      <c r="AM91" s="36"/>
      <c r="AN91" s="36"/>
      <c r="AO91" s="36"/>
      <c r="AP91" s="36">
        <f t="shared" si="104"/>
        <v>1432658.6</v>
      </c>
      <c r="AQ91" s="36"/>
      <c r="AR91" s="36"/>
      <c r="AS91" s="36"/>
      <c r="AT91" s="36"/>
      <c r="AU91" s="36"/>
      <c r="AV91" s="36">
        <f t="shared" si="105"/>
        <v>1432658.6</v>
      </c>
      <c r="AW91" s="36"/>
      <c r="AX91" s="36"/>
      <c r="AY91" s="36"/>
      <c r="AZ91" s="36"/>
      <c r="BA91" s="36"/>
      <c r="BB91" s="36">
        <f t="shared" si="106"/>
        <v>1432658.6</v>
      </c>
      <c r="BC91" s="36"/>
      <c r="BD91" s="36"/>
      <c r="BE91" s="36"/>
      <c r="BF91" s="36"/>
      <c r="BG91" s="36"/>
      <c r="BH91" s="36">
        <f t="shared" si="112"/>
        <v>1432658.6</v>
      </c>
      <c r="BI91" s="36"/>
      <c r="BJ91" s="36">
        <v>0</v>
      </c>
      <c r="BK91" s="36"/>
      <c r="BL91" s="36"/>
      <c r="BM91" s="36"/>
      <c r="BN91" s="36">
        <f t="shared" si="113"/>
        <v>1432658.6</v>
      </c>
      <c r="BO91" s="36"/>
      <c r="BP91" s="36"/>
      <c r="BQ91" s="36"/>
      <c r="BR91" s="36"/>
      <c r="BS91" s="36"/>
      <c r="BT91" s="36">
        <f t="shared" si="107"/>
        <v>1432658.6</v>
      </c>
      <c r="BU91" s="36"/>
      <c r="BV91" s="36"/>
      <c r="BW91" s="36"/>
      <c r="BX91" s="36"/>
      <c r="BY91" s="36"/>
      <c r="BZ91" s="36">
        <f t="shared" si="108"/>
        <v>1432658.6</v>
      </c>
      <c r="CA91" s="36"/>
      <c r="CB91" s="36"/>
      <c r="CC91" s="36"/>
      <c r="CD91" s="36">
        <f t="shared" ref="CD91:CD95" si="114">+BZ91-CA91</f>
        <v>1432658.6</v>
      </c>
    </row>
    <row r="92" spans="1:84">
      <c r="A92" s="34"/>
      <c r="B92" s="35"/>
      <c r="C92" s="35" t="s">
        <v>43</v>
      </c>
      <c r="D92" s="35"/>
      <c r="E92" s="36"/>
      <c r="F92" s="36"/>
      <c r="G92" s="36"/>
      <c r="H92" s="36">
        <v>0</v>
      </c>
      <c r="I92" s="36"/>
      <c r="J92" s="36"/>
      <c r="K92" s="36"/>
      <c r="L92" s="36">
        <f t="shared" si="109"/>
        <v>0</v>
      </c>
      <c r="M92" s="36"/>
      <c r="N92" s="36"/>
      <c r="O92" s="36"/>
      <c r="P92" s="36"/>
      <c r="Q92" s="36"/>
      <c r="R92" s="36">
        <f t="shared" si="110"/>
        <v>0</v>
      </c>
      <c r="S92" s="36"/>
      <c r="T92" s="36"/>
      <c r="U92" s="36"/>
      <c r="V92" s="36"/>
      <c r="W92" s="36"/>
      <c r="X92" s="36">
        <f t="shared" si="111"/>
        <v>0</v>
      </c>
      <c r="Y92" s="36"/>
      <c r="Z92" s="36">
        <v>0</v>
      </c>
      <c r="AA92" s="36"/>
      <c r="AB92" s="36"/>
      <c r="AC92" s="36"/>
      <c r="AD92" s="36">
        <f t="shared" si="102"/>
        <v>0</v>
      </c>
      <c r="AE92" s="36"/>
      <c r="AF92" s="36">
        <v>30620.02</v>
      </c>
      <c r="AG92" s="36"/>
      <c r="AH92" s="36"/>
      <c r="AI92" s="36"/>
      <c r="AJ92" s="36">
        <f t="shared" si="103"/>
        <v>30620.02</v>
      </c>
      <c r="AK92" s="36"/>
      <c r="AL92" s="36">
        <v>0</v>
      </c>
      <c r="AM92" s="36"/>
      <c r="AN92" s="36"/>
      <c r="AO92" s="36"/>
      <c r="AP92" s="36">
        <f t="shared" si="104"/>
        <v>30620.02</v>
      </c>
      <c r="AQ92" s="36"/>
      <c r="AR92" s="36"/>
      <c r="AS92" s="36"/>
      <c r="AT92" s="36"/>
      <c r="AU92" s="36"/>
      <c r="AV92" s="36">
        <f t="shared" si="105"/>
        <v>30620.02</v>
      </c>
      <c r="AW92" s="36"/>
      <c r="AX92" s="36"/>
      <c r="AY92" s="36"/>
      <c r="AZ92" s="36"/>
      <c r="BA92" s="36"/>
      <c r="BB92" s="36">
        <f t="shared" si="106"/>
        <v>30620.02</v>
      </c>
      <c r="BC92" s="36"/>
      <c r="BD92" s="36"/>
      <c r="BE92" s="36"/>
      <c r="BF92" s="36"/>
      <c r="BG92" s="36"/>
      <c r="BH92" s="36">
        <f t="shared" si="112"/>
        <v>30620.02</v>
      </c>
      <c r="BI92" s="36"/>
      <c r="BJ92" s="36">
        <v>0</v>
      </c>
      <c r="BK92" s="36"/>
      <c r="BL92" s="36"/>
      <c r="BM92" s="36"/>
      <c r="BN92" s="36">
        <f t="shared" si="113"/>
        <v>30620.02</v>
      </c>
      <c r="BO92" s="36"/>
      <c r="BP92" s="36"/>
      <c r="BQ92" s="36"/>
      <c r="BR92" s="36"/>
      <c r="BS92" s="36"/>
      <c r="BT92" s="36">
        <f t="shared" si="107"/>
        <v>30620.02</v>
      </c>
      <c r="BU92" s="36"/>
      <c r="BV92" s="36"/>
      <c r="BW92" s="36"/>
      <c r="BX92" s="36"/>
      <c r="BY92" s="36"/>
      <c r="BZ92" s="36">
        <f t="shared" si="108"/>
        <v>30620.02</v>
      </c>
      <c r="CA92" s="36"/>
      <c r="CB92" s="36"/>
      <c r="CC92" s="36"/>
      <c r="CD92" s="36">
        <f t="shared" si="114"/>
        <v>30620.02</v>
      </c>
    </row>
    <row r="93" spans="1:84">
      <c r="A93" s="34"/>
      <c r="B93" s="35"/>
      <c r="C93" s="35" t="s">
        <v>44</v>
      </c>
      <c r="D93" s="35"/>
      <c r="E93" s="36"/>
      <c r="F93" s="36"/>
      <c r="G93" s="36"/>
      <c r="H93" s="36">
        <v>16928.57</v>
      </c>
      <c r="I93" s="36"/>
      <c r="J93" s="36"/>
      <c r="K93" s="36"/>
      <c r="L93" s="36">
        <f t="shared" si="109"/>
        <v>16928.57</v>
      </c>
      <c r="M93" s="36"/>
      <c r="N93" s="36"/>
      <c r="O93" s="36"/>
      <c r="P93" s="36"/>
      <c r="Q93" s="36"/>
      <c r="R93" s="36">
        <f t="shared" si="110"/>
        <v>16928.57</v>
      </c>
      <c r="S93" s="36"/>
      <c r="T93" s="36"/>
      <c r="U93" s="36"/>
      <c r="V93" s="36"/>
      <c r="W93" s="36"/>
      <c r="X93" s="36">
        <f t="shared" si="111"/>
        <v>16928.57</v>
      </c>
      <c r="Y93" s="36"/>
      <c r="Z93" s="36">
        <v>0</v>
      </c>
      <c r="AA93" s="36"/>
      <c r="AB93" s="36"/>
      <c r="AC93" s="36"/>
      <c r="AD93" s="36">
        <f t="shared" si="102"/>
        <v>16928.57</v>
      </c>
      <c r="AE93" s="36"/>
      <c r="AF93" s="36">
        <v>16483.73</v>
      </c>
      <c r="AG93" s="36"/>
      <c r="AH93" s="36"/>
      <c r="AI93" s="36"/>
      <c r="AJ93" s="36">
        <f t="shared" si="103"/>
        <v>33412.300000000003</v>
      </c>
      <c r="AK93" s="36"/>
      <c r="AL93" s="36">
        <v>0</v>
      </c>
      <c r="AM93" s="36"/>
      <c r="AN93" s="36"/>
      <c r="AO93" s="36"/>
      <c r="AP93" s="36">
        <f t="shared" si="104"/>
        <v>33412.300000000003</v>
      </c>
      <c r="AQ93" s="36"/>
      <c r="AR93" s="36"/>
      <c r="AS93" s="36"/>
      <c r="AT93" s="36"/>
      <c r="AU93" s="36"/>
      <c r="AV93" s="36">
        <f t="shared" si="105"/>
        <v>33412.300000000003</v>
      </c>
      <c r="AW93" s="36"/>
      <c r="AX93" s="36"/>
      <c r="AY93" s="36"/>
      <c r="AZ93" s="36"/>
      <c r="BA93" s="36"/>
      <c r="BB93" s="36">
        <f t="shared" si="106"/>
        <v>33412.300000000003</v>
      </c>
      <c r="BC93" s="36"/>
      <c r="BD93" s="36">
        <v>0</v>
      </c>
      <c r="BE93" s="36"/>
      <c r="BF93" s="36"/>
      <c r="BG93" s="36"/>
      <c r="BH93" s="36">
        <f t="shared" si="112"/>
        <v>33412.300000000003</v>
      </c>
      <c r="BI93" s="36"/>
      <c r="BJ93" s="36">
        <v>0</v>
      </c>
      <c r="BK93" s="36"/>
      <c r="BL93" s="36"/>
      <c r="BM93" s="36"/>
      <c r="BN93" s="36">
        <f t="shared" si="113"/>
        <v>33412.300000000003</v>
      </c>
      <c r="BO93" s="36"/>
      <c r="BP93" s="36"/>
      <c r="BQ93" s="36"/>
      <c r="BR93" s="36"/>
      <c r="BS93" s="36"/>
      <c r="BT93" s="36">
        <f t="shared" si="107"/>
        <v>33412.300000000003</v>
      </c>
      <c r="BU93" s="36"/>
      <c r="BV93" s="36"/>
      <c r="BW93" s="36"/>
      <c r="BX93" s="36"/>
      <c r="BY93" s="36"/>
      <c r="BZ93" s="36">
        <f t="shared" si="108"/>
        <v>33412.300000000003</v>
      </c>
      <c r="CA93" s="36"/>
      <c r="CB93" s="36"/>
      <c r="CC93" s="36"/>
      <c r="CD93" s="36">
        <f t="shared" si="114"/>
        <v>33412.300000000003</v>
      </c>
    </row>
    <row r="94" spans="1:84">
      <c r="A94" s="34"/>
      <c r="B94" s="35"/>
      <c r="C94" s="35" t="s">
        <v>366</v>
      </c>
      <c r="D94" s="35"/>
      <c r="E94" s="36"/>
      <c r="F94" s="36"/>
      <c r="G94" s="36"/>
      <c r="H94" s="36">
        <v>0</v>
      </c>
      <c r="I94" s="36"/>
      <c r="J94" s="36"/>
      <c r="K94" s="36"/>
      <c r="L94" s="36">
        <f t="shared" si="109"/>
        <v>0</v>
      </c>
      <c r="M94" s="36"/>
      <c r="N94" s="36"/>
      <c r="O94" s="36"/>
      <c r="P94" s="36"/>
      <c r="Q94" s="36"/>
      <c r="R94" s="36">
        <f>SUM(L94-M94+N94-O94+P94)</f>
        <v>0</v>
      </c>
      <c r="S94" s="36"/>
      <c r="T94" s="36"/>
      <c r="U94" s="36"/>
      <c r="V94" s="36"/>
      <c r="W94" s="36"/>
      <c r="X94" s="36">
        <f t="shared" si="111"/>
        <v>0</v>
      </c>
      <c r="Y94" s="36"/>
      <c r="Z94" s="36">
        <v>0</v>
      </c>
      <c r="AA94" s="36"/>
      <c r="AB94" s="36"/>
      <c r="AC94" s="36"/>
      <c r="AD94" s="36">
        <f t="shared" si="102"/>
        <v>0</v>
      </c>
      <c r="AE94" s="36"/>
      <c r="AF94" s="36">
        <v>0</v>
      </c>
      <c r="AG94" s="36"/>
      <c r="AH94" s="36"/>
      <c r="AI94" s="36"/>
      <c r="AJ94" s="36">
        <f t="shared" si="103"/>
        <v>0</v>
      </c>
      <c r="AK94" s="36"/>
      <c r="AL94" s="36">
        <v>0</v>
      </c>
      <c r="AM94" s="36"/>
      <c r="AN94" s="36"/>
      <c r="AO94" s="36"/>
      <c r="AP94" s="36">
        <f t="shared" si="104"/>
        <v>0</v>
      </c>
      <c r="AQ94" s="36"/>
      <c r="AR94" s="36"/>
      <c r="AS94" s="36"/>
      <c r="AT94" s="36"/>
      <c r="AU94" s="36"/>
      <c r="AV94" s="36">
        <f t="shared" si="105"/>
        <v>0</v>
      </c>
      <c r="AW94" s="36"/>
      <c r="AX94" s="36">
        <v>0</v>
      </c>
      <c r="AY94" s="36"/>
      <c r="AZ94" s="36"/>
      <c r="BA94" s="36"/>
      <c r="BB94" s="36">
        <f t="shared" si="106"/>
        <v>0</v>
      </c>
      <c r="BC94" s="36"/>
      <c r="BD94" s="36">
        <v>0</v>
      </c>
      <c r="BE94" s="36"/>
      <c r="BF94" s="36"/>
      <c r="BG94" s="36"/>
      <c r="BH94" s="36">
        <f t="shared" si="112"/>
        <v>0</v>
      </c>
      <c r="BI94" s="36"/>
      <c r="BJ94" s="36">
        <v>0</v>
      </c>
      <c r="BK94" s="36"/>
      <c r="BL94" s="36"/>
      <c r="BM94" s="36"/>
      <c r="BN94" s="36">
        <f t="shared" si="113"/>
        <v>0</v>
      </c>
      <c r="BO94" s="36"/>
      <c r="BP94" s="36"/>
      <c r="BQ94" s="36"/>
      <c r="BR94" s="36"/>
      <c r="BS94" s="36"/>
      <c r="BT94" s="36">
        <f t="shared" si="107"/>
        <v>0</v>
      </c>
      <c r="BU94" s="36"/>
      <c r="BV94" s="36"/>
      <c r="BW94" s="36"/>
      <c r="BX94" s="36"/>
      <c r="BY94" s="36"/>
      <c r="BZ94" s="36">
        <f t="shared" si="108"/>
        <v>0</v>
      </c>
      <c r="CA94" s="36"/>
      <c r="CB94" s="36"/>
      <c r="CC94" s="36"/>
      <c r="CD94" s="36">
        <f t="shared" si="114"/>
        <v>0</v>
      </c>
    </row>
    <row r="95" spans="1:84">
      <c r="A95" s="37"/>
      <c r="B95" s="38"/>
      <c r="C95" s="38" t="s">
        <v>55</v>
      </c>
      <c r="D95" s="38"/>
      <c r="E95" s="39"/>
      <c r="F95" s="39"/>
      <c r="G95" s="39"/>
      <c r="H95" s="39">
        <v>26749</v>
      </c>
      <c r="I95" s="39"/>
      <c r="J95" s="39"/>
      <c r="K95" s="39"/>
      <c r="L95" s="36">
        <f t="shared" si="109"/>
        <v>26749</v>
      </c>
      <c r="M95" s="39"/>
      <c r="N95" s="39">
        <v>41900</v>
      </c>
      <c r="O95" s="39"/>
      <c r="P95" s="39"/>
      <c r="Q95" s="39"/>
      <c r="R95" s="36">
        <f t="shared" si="110"/>
        <v>68649</v>
      </c>
      <c r="S95" s="39"/>
      <c r="T95" s="39"/>
      <c r="U95" s="39"/>
      <c r="V95" s="39"/>
      <c r="W95" s="39"/>
      <c r="X95" s="36">
        <f t="shared" si="111"/>
        <v>68649</v>
      </c>
      <c r="Y95" s="39"/>
      <c r="Z95" s="39">
        <v>77920</v>
      </c>
      <c r="AA95" s="39"/>
      <c r="AB95" s="39"/>
      <c r="AC95" s="39"/>
      <c r="AD95" s="36">
        <f t="shared" si="102"/>
        <v>146569</v>
      </c>
      <c r="AE95" s="39"/>
      <c r="AF95" s="39">
        <v>71894</v>
      </c>
      <c r="AG95" s="39"/>
      <c r="AH95" s="39"/>
      <c r="AI95" s="39"/>
      <c r="AJ95" s="36">
        <f t="shared" si="103"/>
        <v>218463</v>
      </c>
      <c r="AK95" s="39"/>
      <c r="AL95" s="39"/>
      <c r="AM95" s="39"/>
      <c r="AN95" s="39"/>
      <c r="AO95" s="39"/>
      <c r="AP95" s="36">
        <f t="shared" si="104"/>
        <v>218463</v>
      </c>
      <c r="AQ95" s="39"/>
      <c r="AR95" s="39"/>
      <c r="AS95" s="39"/>
      <c r="AT95" s="39"/>
      <c r="AU95" s="39"/>
      <c r="AV95" s="36">
        <f t="shared" si="105"/>
        <v>218463</v>
      </c>
      <c r="AW95" s="39"/>
      <c r="AX95" s="39"/>
      <c r="AY95" s="39"/>
      <c r="AZ95" s="39"/>
      <c r="BA95" s="39"/>
      <c r="BB95" s="36">
        <f t="shared" si="106"/>
        <v>218463</v>
      </c>
      <c r="BC95" s="39"/>
      <c r="BD95" s="39"/>
      <c r="BE95" s="39"/>
      <c r="BF95" s="39"/>
      <c r="BG95" s="39"/>
      <c r="BH95" s="36">
        <f t="shared" si="112"/>
        <v>218463</v>
      </c>
      <c r="BI95" s="39"/>
      <c r="BJ95" s="39"/>
      <c r="BK95" s="39"/>
      <c r="BL95" s="39"/>
      <c r="BM95" s="39"/>
      <c r="BN95" s="36">
        <f t="shared" si="113"/>
        <v>218463</v>
      </c>
      <c r="BO95" s="39"/>
      <c r="BP95" s="39"/>
      <c r="BQ95" s="39"/>
      <c r="BR95" s="39"/>
      <c r="BS95" s="39"/>
      <c r="BT95" s="36">
        <f t="shared" si="107"/>
        <v>218463</v>
      </c>
      <c r="BU95" s="39"/>
      <c r="BV95" s="39"/>
      <c r="BW95" s="39"/>
      <c r="BX95" s="39"/>
      <c r="BY95" s="39"/>
      <c r="BZ95" s="36">
        <f t="shared" si="108"/>
        <v>218463</v>
      </c>
      <c r="CA95" s="39"/>
      <c r="CB95" s="39"/>
      <c r="CC95" s="39"/>
      <c r="CD95" s="36">
        <f t="shared" si="114"/>
        <v>218463</v>
      </c>
    </row>
    <row r="96" spans="1:84" s="145" customFormat="1">
      <c r="A96" s="130" t="s">
        <v>88</v>
      </c>
      <c r="B96" s="131"/>
      <c r="C96" s="131"/>
      <c r="D96" s="131"/>
      <c r="E96" s="132">
        <f>SUM(E97,E99,E103)</f>
        <v>0</v>
      </c>
      <c r="F96" s="132">
        <f t="shared" ref="F96:BQ96" si="115">SUM(F97,F99,F103)</f>
        <v>0</v>
      </c>
      <c r="G96" s="132">
        <f t="shared" si="115"/>
        <v>0</v>
      </c>
      <c r="H96" s="132">
        <f t="shared" si="115"/>
        <v>0</v>
      </c>
      <c r="I96" s="132">
        <f t="shared" si="115"/>
        <v>0</v>
      </c>
      <c r="J96" s="132">
        <f t="shared" si="115"/>
        <v>0</v>
      </c>
      <c r="K96" s="132">
        <f t="shared" si="115"/>
        <v>0</v>
      </c>
      <c r="L96" s="132">
        <f t="shared" si="115"/>
        <v>0</v>
      </c>
      <c r="M96" s="132">
        <f t="shared" si="115"/>
        <v>0</v>
      </c>
      <c r="N96" s="132">
        <f t="shared" si="115"/>
        <v>9572747</v>
      </c>
      <c r="O96" s="132">
        <f t="shared" si="115"/>
        <v>0</v>
      </c>
      <c r="P96" s="132">
        <f t="shared" si="115"/>
        <v>0</v>
      </c>
      <c r="Q96" s="132">
        <f t="shared" si="115"/>
        <v>0</v>
      </c>
      <c r="R96" s="132">
        <f t="shared" si="115"/>
        <v>9572747</v>
      </c>
      <c r="S96" s="132">
        <f t="shared" si="115"/>
        <v>0</v>
      </c>
      <c r="T96" s="132">
        <f>SUM(T97,T99,T103)</f>
        <v>2103200</v>
      </c>
      <c r="U96" s="132">
        <f t="shared" si="115"/>
        <v>0</v>
      </c>
      <c r="V96" s="132">
        <f t="shared" si="115"/>
        <v>0</v>
      </c>
      <c r="W96" s="132">
        <f t="shared" si="115"/>
        <v>0</v>
      </c>
      <c r="X96" s="132">
        <f t="shared" si="115"/>
        <v>11675947</v>
      </c>
      <c r="Y96" s="132">
        <f t="shared" si="115"/>
        <v>0</v>
      </c>
      <c r="Z96" s="132">
        <f t="shared" si="115"/>
        <v>6216467</v>
      </c>
      <c r="AA96" s="132">
        <f t="shared" si="115"/>
        <v>0</v>
      </c>
      <c r="AB96" s="132">
        <f t="shared" si="115"/>
        <v>0</v>
      </c>
      <c r="AC96" s="132">
        <f t="shared" si="115"/>
        <v>0</v>
      </c>
      <c r="AD96" s="132">
        <f t="shared" si="115"/>
        <v>17892414</v>
      </c>
      <c r="AE96" s="132">
        <f t="shared" si="115"/>
        <v>0</v>
      </c>
      <c r="AF96" s="132">
        <f>SUM(AF97,AF99,AF103)</f>
        <v>0</v>
      </c>
      <c r="AG96" s="132">
        <f t="shared" si="115"/>
        <v>0</v>
      </c>
      <c r="AH96" s="132">
        <f t="shared" si="115"/>
        <v>0</v>
      </c>
      <c r="AI96" s="132">
        <f t="shared" si="115"/>
        <v>0</v>
      </c>
      <c r="AJ96" s="132">
        <f>SUM(AJ97,AJ99,AJ103)</f>
        <v>17892414</v>
      </c>
      <c r="AK96" s="132">
        <f t="shared" si="115"/>
        <v>0</v>
      </c>
      <c r="AL96" s="132">
        <f>SUM(AL97,AL99,AL103)</f>
        <v>0</v>
      </c>
      <c r="AM96" s="133">
        <f t="shared" si="115"/>
        <v>0</v>
      </c>
      <c r="AN96" s="133">
        <f t="shared" si="115"/>
        <v>0</v>
      </c>
      <c r="AO96" s="132">
        <f t="shared" si="115"/>
        <v>0</v>
      </c>
      <c r="AP96" s="132">
        <f t="shared" si="115"/>
        <v>17892414</v>
      </c>
      <c r="AQ96" s="132">
        <f t="shared" si="115"/>
        <v>0</v>
      </c>
      <c r="AR96" s="132">
        <f t="shared" si="115"/>
        <v>0</v>
      </c>
      <c r="AS96" s="132">
        <f t="shared" si="115"/>
        <v>0</v>
      </c>
      <c r="AT96" s="132">
        <f t="shared" si="115"/>
        <v>0</v>
      </c>
      <c r="AU96" s="132">
        <f t="shared" si="115"/>
        <v>0</v>
      </c>
      <c r="AV96" s="132">
        <f>SUM(AV97,AV99,AV103)</f>
        <v>17892414</v>
      </c>
      <c r="AW96" s="132">
        <f t="shared" si="115"/>
        <v>0</v>
      </c>
      <c r="AX96" s="132">
        <f t="shared" si="115"/>
        <v>0</v>
      </c>
      <c r="AY96" s="132">
        <f t="shared" si="115"/>
        <v>0</v>
      </c>
      <c r="AZ96" s="132">
        <f t="shared" si="115"/>
        <v>0</v>
      </c>
      <c r="BA96" s="132">
        <f t="shared" si="115"/>
        <v>0</v>
      </c>
      <c r="BB96" s="132">
        <f t="shared" si="115"/>
        <v>17892414</v>
      </c>
      <c r="BC96" s="132">
        <f t="shared" si="115"/>
        <v>0</v>
      </c>
      <c r="BD96" s="132">
        <f>SUM(BD97,BD99,BD103)</f>
        <v>0</v>
      </c>
      <c r="BE96" s="132">
        <f t="shared" si="115"/>
        <v>0</v>
      </c>
      <c r="BF96" s="132">
        <f t="shared" si="115"/>
        <v>0</v>
      </c>
      <c r="BG96" s="132">
        <f>SUM(BG97,BG99,BG103)</f>
        <v>0</v>
      </c>
      <c r="BH96" s="132">
        <f>SUM(BH97,BH99,BH103)</f>
        <v>17892414</v>
      </c>
      <c r="BI96" s="132">
        <f t="shared" si="115"/>
        <v>0</v>
      </c>
      <c r="BJ96" s="132">
        <f t="shared" si="115"/>
        <v>0</v>
      </c>
      <c r="BK96" s="132">
        <f t="shared" si="115"/>
        <v>0</v>
      </c>
      <c r="BL96" s="132">
        <f t="shared" si="115"/>
        <v>0</v>
      </c>
      <c r="BM96" s="132">
        <f t="shared" si="115"/>
        <v>0</v>
      </c>
      <c r="BN96" s="132">
        <f>SUM(BN97,BN99,BN103)</f>
        <v>17892414</v>
      </c>
      <c r="BO96" s="132">
        <f t="shared" si="115"/>
        <v>0</v>
      </c>
      <c r="BP96" s="132">
        <f t="shared" si="115"/>
        <v>0</v>
      </c>
      <c r="BQ96" s="132">
        <f t="shared" si="115"/>
        <v>0</v>
      </c>
      <c r="BR96" s="132">
        <f t="shared" ref="BR96:CC96" si="116">SUM(BR97,BR99,BR103)</f>
        <v>0</v>
      </c>
      <c r="BS96" s="132">
        <f t="shared" si="116"/>
        <v>0</v>
      </c>
      <c r="BT96" s="132">
        <f t="shared" si="116"/>
        <v>17892414</v>
      </c>
      <c r="BU96" s="132">
        <f t="shared" si="116"/>
        <v>0</v>
      </c>
      <c r="BV96" s="132">
        <f t="shared" si="116"/>
        <v>0</v>
      </c>
      <c r="BW96" s="132">
        <f t="shared" si="116"/>
        <v>0</v>
      </c>
      <c r="BX96" s="132">
        <f t="shared" si="116"/>
        <v>0</v>
      </c>
      <c r="BY96" s="132">
        <f t="shared" si="116"/>
        <v>0</v>
      </c>
      <c r="BZ96" s="132">
        <f>SUM(BZ97,BZ99,BZ103)</f>
        <v>17892414</v>
      </c>
      <c r="CA96" s="133">
        <f t="shared" si="116"/>
        <v>0</v>
      </c>
      <c r="CB96" s="133">
        <f t="shared" si="116"/>
        <v>0</v>
      </c>
      <c r="CC96" s="132">
        <f t="shared" si="116"/>
        <v>0</v>
      </c>
      <c r="CD96" s="132">
        <f>SUM(CD97,CD99,CD103)</f>
        <v>17892414</v>
      </c>
      <c r="CE96" s="144"/>
      <c r="CF96" s="144"/>
    </row>
    <row r="97" spans="1:84" s="145" customFormat="1">
      <c r="A97" s="136"/>
      <c r="B97" s="137" t="s">
        <v>89</v>
      </c>
      <c r="C97" s="137"/>
      <c r="D97" s="137"/>
      <c r="E97" s="138">
        <f t="shared" ref="E97:BY97" si="117">SUM(E98)</f>
        <v>0</v>
      </c>
      <c r="F97" s="138">
        <f t="shared" si="117"/>
        <v>0</v>
      </c>
      <c r="G97" s="138">
        <f t="shared" si="117"/>
        <v>0</v>
      </c>
      <c r="H97" s="138">
        <f t="shared" si="117"/>
        <v>0</v>
      </c>
      <c r="I97" s="138">
        <f t="shared" si="117"/>
        <v>0</v>
      </c>
      <c r="J97" s="138">
        <f t="shared" si="117"/>
        <v>0</v>
      </c>
      <c r="K97" s="138">
        <f t="shared" si="117"/>
        <v>0</v>
      </c>
      <c r="L97" s="139">
        <f>SUM(F97-G97+H97-I97+J97)</f>
        <v>0</v>
      </c>
      <c r="M97" s="138">
        <f t="shared" si="117"/>
        <v>0</v>
      </c>
      <c r="N97" s="138">
        <f>SUM(N98)</f>
        <v>6086807</v>
      </c>
      <c r="O97" s="138"/>
      <c r="P97" s="138"/>
      <c r="Q97" s="138">
        <f t="shared" si="117"/>
        <v>0</v>
      </c>
      <c r="R97" s="139">
        <f>SUM(L97-M97+N97-O97+P97)</f>
        <v>6086807</v>
      </c>
      <c r="S97" s="138">
        <f t="shared" si="117"/>
        <v>0</v>
      </c>
      <c r="T97" s="138">
        <f t="shared" si="117"/>
        <v>0</v>
      </c>
      <c r="U97" s="138"/>
      <c r="V97" s="138"/>
      <c r="W97" s="138">
        <f t="shared" si="117"/>
        <v>0</v>
      </c>
      <c r="X97" s="139">
        <f>SUM(R97-S97+T97-U97+V97)</f>
        <v>6086807</v>
      </c>
      <c r="Y97" s="138">
        <f t="shared" si="117"/>
        <v>0</v>
      </c>
      <c r="Z97" s="138">
        <f>SUM(Z98)</f>
        <v>5835157</v>
      </c>
      <c r="AA97" s="138"/>
      <c r="AB97" s="138"/>
      <c r="AC97" s="138">
        <f t="shared" si="117"/>
        <v>0</v>
      </c>
      <c r="AD97" s="139">
        <f>SUM(X97-Y97+Z97-AA97+AB97)</f>
        <v>11921964</v>
      </c>
      <c r="AE97" s="138">
        <f t="shared" si="117"/>
        <v>0</v>
      </c>
      <c r="AF97" s="138">
        <f>SUM(AF98)</f>
        <v>0</v>
      </c>
      <c r="AG97" s="138"/>
      <c r="AH97" s="138"/>
      <c r="AI97" s="138">
        <f t="shared" si="117"/>
        <v>0</v>
      </c>
      <c r="AJ97" s="139">
        <f>SUM(AD97-AE97+AF97-AG97+AH97)</f>
        <v>11921964</v>
      </c>
      <c r="AK97" s="138">
        <f t="shared" si="117"/>
        <v>0</v>
      </c>
      <c r="AL97" s="138">
        <f t="shared" si="117"/>
        <v>0</v>
      </c>
      <c r="AM97" s="139"/>
      <c r="AN97" s="139"/>
      <c r="AO97" s="138">
        <f t="shared" si="117"/>
        <v>0</v>
      </c>
      <c r="AP97" s="139">
        <f>SUM(AJ97-AK97+AL97-AM97+AN97)</f>
        <v>11921964</v>
      </c>
      <c r="AQ97" s="138">
        <f t="shared" si="117"/>
        <v>0</v>
      </c>
      <c r="AR97" s="138">
        <f>SUM(AR98)</f>
        <v>0</v>
      </c>
      <c r="AS97" s="138">
        <f t="shared" si="117"/>
        <v>0</v>
      </c>
      <c r="AT97" s="138">
        <f t="shared" si="117"/>
        <v>0</v>
      </c>
      <c r="AU97" s="138">
        <f t="shared" si="117"/>
        <v>0</v>
      </c>
      <c r="AV97" s="139">
        <f>SUM(AP97-AQ97+AR97-AS97+AT97)</f>
        <v>11921964</v>
      </c>
      <c r="AW97" s="138">
        <f t="shared" si="117"/>
        <v>0</v>
      </c>
      <c r="AX97" s="138">
        <f t="shared" si="117"/>
        <v>0</v>
      </c>
      <c r="AY97" s="138">
        <f t="shared" si="117"/>
        <v>0</v>
      </c>
      <c r="AZ97" s="138">
        <f t="shared" si="117"/>
        <v>0</v>
      </c>
      <c r="BA97" s="138">
        <f t="shared" si="117"/>
        <v>0</v>
      </c>
      <c r="BB97" s="139">
        <f>SUM(AV97-AW97+AX97-AY97+AZ97)</f>
        <v>11921964</v>
      </c>
      <c r="BC97" s="138">
        <f t="shared" si="117"/>
        <v>0</v>
      </c>
      <c r="BD97" s="138">
        <f>SUM(BD98)</f>
        <v>0</v>
      </c>
      <c r="BE97" s="138"/>
      <c r="BF97" s="138"/>
      <c r="BG97" s="138">
        <f>SUM(BG98)</f>
        <v>0</v>
      </c>
      <c r="BH97" s="139">
        <f>SUM(BB97-BC97+BD97-BE97+BF97)</f>
        <v>11921964</v>
      </c>
      <c r="BI97" s="138">
        <f t="shared" si="117"/>
        <v>0</v>
      </c>
      <c r="BJ97" s="138">
        <f t="shared" si="117"/>
        <v>0</v>
      </c>
      <c r="BK97" s="138"/>
      <c r="BL97" s="138"/>
      <c r="BM97" s="138">
        <f t="shared" si="117"/>
        <v>0</v>
      </c>
      <c r="BN97" s="139">
        <f>SUM(BH97-BI97+BJ97-BK97+BL97)</f>
        <v>11921964</v>
      </c>
      <c r="BO97" s="138">
        <f t="shared" si="117"/>
        <v>0</v>
      </c>
      <c r="BP97" s="138">
        <f>SUM(BP98)</f>
        <v>0</v>
      </c>
      <c r="BQ97" s="138"/>
      <c r="BR97" s="138"/>
      <c r="BS97" s="138">
        <f t="shared" si="117"/>
        <v>0</v>
      </c>
      <c r="BT97" s="139">
        <f>SUM(BN97-BO97+BP97-BQ97+BR97)</f>
        <v>11921964</v>
      </c>
      <c r="BU97" s="138">
        <f t="shared" si="117"/>
        <v>0</v>
      </c>
      <c r="BV97" s="138">
        <f t="shared" si="117"/>
        <v>0</v>
      </c>
      <c r="BW97" s="138"/>
      <c r="BX97" s="138"/>
      <c r="BY97" s="138">
        <f t="shared" si="117"/>
        <v>0</v>
      </c>
      <c r="BZ97" s="139">
        <f>SUM(BT97-BU97+BV97-BW97+BX97)</f>
        <v>11921964</v>
      </c>
      <c r="CA97" s="139">
        <f>+CA98</f>
        <v>0</v>
      </c>
      <c r="CB97" s="139">
        <f>+CB98</f>
        <v>0</v>
      </c>
      <c r="CC97" s="138">
        <f>SUM(CC98)</f>
        <v>0</v>
      </c>
      <c r="CD97" s="139">
        <f>+BZ97+CB97+-CA97</f>
        <v>11921964</v>
      </c>
      <c r="CE97" s="144"/>
      <c r="CF97" s="144"/>
    </row>
    <row r="98" spans="1:84">
      <c r="A98" s="12"/>
      <c r="B98" s="24"/>
      <c r="C98" s="24" t="s">
        <v>90</v>
      </c>
      <c r="D98" s="24"/>
      <c r="E98" s="11"/>
      <c r="F98" s="11"/>
      <c r="G98" s="11"/>
      <c r="H98" s="11"/>
      <c r="I98" s="11"/>
      <c r="J98" s="11"/>
      <c r="K98" s="11"/>
      <c r="L98" s="11">
        <f>SUM(F98-G98+H98-I98+J98)</f>
        <v>0</v>
      </c>
      <c r="M98" s="11"/>
      <c r="N98" s="11">
        <f>4361263+285044+1123000+16000+277500+24000</f>
        <v>6086807</v>
      </c>
      <c r="O98" s="11"/>
      <c r="P98" s="11"/>
      <c r="Q98" s="11"/>
      <c r="R98" s="11">
        <f>SUM(L98-M98+N98-O98+P98)</f>
        <v>6086807</v>
      </c>
      <c r="S98" s="11"/>
      <c r="T98" s="11"/>
      <c r="U98" s="11"/>
      <c r="V98" s="11"/>
      <c r="W98" s="11"/>
      <c r="X98" s="11">
        <f>SUM(R98-S98+T98-U98+V98)</f>
        <v>6086807</v>
      </c>
      <c r="Y98" s="11"/>
      <c r="Z98" s="11">
        <f>4361263+631894+818000+24000</f>
        <v>5835157</v>
      </c>
      <c r="AA98" s="11"/>
      <c r="AB98" s="11"/>
      <c r="AC98" s="11"/>
      <c r="AD98" s="11">
        <f>SUM(X98-Y98+Z98-AA98+AB98)</f>
        <v>11921964</v>
      </c>
      <c r="AE98" s="11"/>
      <c r="AF98" s="11"/>
      <c r="AG98" s="11"/>
      <c r="AH98" s="11"/>
      <c r="AI98" s="11"/>
      <c r="AJ98" s="11">
        <f>SUM(AD98-AE98+AF98-AG98+AH98)</f>
        <v>11921964</v>
      </c>
      <c r="AK98" s="11"/>
      <c r="AL98" s="11"/>
      <c r="AM98" s="11"/>
      <c r="AN98" s="11"/>
      <c r="AO98" s="11"/>
      <c r="AP98" s="11">
        <f>SUM(AJ98-AK98+AL98-AM98+AN98)</f>
        <v>11921964</v>
      </c>
      <c r="AQ98" s="11"/>
      <c r="AR98" s="11"/>
      <c r="AS98" s="11"/>
      <c r="AT98" s="11"/>
      <c r="AU98" s="11"/>
      <c r="AV98" s="11">
        <f>SUM(AP98-AQ98+AR98-AS98+AT98)</f>
        <v>11921964</v>
      </c>
      <c r="AW98" s="11"/>
      <c r="AX98" s="11">
        <v>0</v>
      </c>
      <c r="AY98" s="11"/>
      <c r="AZ98" s="11"/>
      <c r="BA98" s="11"/>
      <c r="BB98" s="11">
        <f>SUM(AV98-AW98+AX98-AY98+AZ98)</f>
        <v>11921964</v>
      </c>
      <c r="BC98" s="11"/>
      <c r="BD98" s="11">
        <v>0</v>
      </c>
      <c r="BE98" s="11"/>
      <c r="BF98" s="11"/>
      <c r="BG98" s="11"/>
      <c r="BH98" s="11">
        <f>SUM(BB98-BC98+BD98-BE98+BF98)</f>
        <v>11921964</v>
      </c>
      <c r="BI98" s="11"/>
      <c r="BJ98" s="11"/>
      <c r="BK98" s="11"/>
      <c r="BL98" s="11"/>
      <c r="BM98" s="11"/>
      <c r="BN98" s="11">
        <f>SUM(BH98-BI98+BJ98-BK98+BL98)</f>
        <v>11921964</v>
      </c>
      <c r="BO98" s="11"/>
      <c r="BP98" s="11"/>
      <c r="BQ98" s="11"/>
      <c r="BR98" s="11"/>
      <c r="BS98" s="11"/>
      <c r="BT98" s="11">
        <f>SUM(BN98-BO98+BP98-BQ98+BR98)</f>
        <v>11921964</v>
      </c>
      <c r="BU98" s="11"/>
      <c r="BV98" s="11"/>
      <c r="BW98" s="11"/>
      <c r="BX98" s="11"/>
      <c r="BY98" s="11"/>
      <c r="BZ98" s="11">
        <f>SUM(BT98-BU98+BV98-BW98+BX98)</f>
        <v>11921964</v>
      </c>
      <c r="CA98" s="11"/>
      <c r="CB98" s="11"/>
      <c r="CC98" s="11"/>
      <c r="CD98" s="11">
        <f>+BZ98+CB98-CA98</f>
        <v>11921964</v>
      </c>
    </row>
    <row r="99" spans="1:84" s="145" customFormat="1">
      <c r="A99" s="140"/>
      <c r="B99" s="141" t="s">
        <v>91</v>
      </c>
      <c r="C99" s="141"/>
      <c r="D99" s="141"/>
      <c r="E99" s="142">
        <f t="shared" ref="E99:AK99" si="118">SUM(E100:E101)</f>
        <v>0</v>
      </c>
      <c r="F99" s="142">
        <f t="shared" si="118"/>
        <v>0</v>
      </c>
      <c r="G99" s="142">
        <f t="shared" si="118"/>
        <v>0</v>
      </c>
      <c r="H99" s="142">
        <f t="shared" si="118"/>
        <v>0</v>
      </c>
      <c r="I99" s="142">
        <f t="shared" si="118"/>
        <v>0</v>
      </c>
      <c r="J99" s="142">
        <f t="shared" si="118"/>
        <v>0</v>
      </c>
      <c r="K99" s="142">
        <f t="shared" si="118"/>
        <v>0</v>
      </c>
      <c r="L99" s="142">
        <f>SUM(L100:L102)</f>
        <v>0</v>
      </c>
      <c r="M99" s="142">
        <f t="shared" si="118"/>
        <v>0</v>
      </c>
      <c r="N99" s="142">
        <f t="shared" si="118"/>
        <v>0</v>
      </c>
      <c r="O99" s="142">
        <f t="shared" si="118"/>
        <v>0</v>
      </c>
      <c r="P99" s="142">
        <f t="shared" si="118"/>
        <v>0</v>
      </c>
      <c r="Q99" s="142">
        <f t="shared" si="118"/>
        <v>0</v>
      </c>
      <c r="R99" s="142">
        <f>SUM(R100:R102)</f>
        <v>0</v>
      </c>
      <c r="S99" s="142">
        <f t="shared" ref="S99:W99" si="119">SUM(S100:S101)</f>
        <v>0</v>
      </c>
      <c r="T99" s="142">
        <f>SUM(T100:T101)</f>
        <v>0</v>
      </c>
      <c r="U99" s="142">
        <f t="shared" si="119"/>
        <v>0</v>
      </c>
      <c r="V99" s="142">
        <f t="shared" si="119"/>
        <v>0</v>
      </c>
      <c r="W99" s="142">
        <f t="shared" si="119"/>
        <v>0</v>
      </c>
      <c r="X99" s="142">
        <f>SUM(X100:X102)</f>
        <v>0</v>
      </c>
      <c r="Y99" s="142">
        <f t="shared" si="118"/>
        <v>0</v>
      </c>
      <c r="Z99" s="142">
        <f>SUM(Z100:Z101)</f>
        <v>0</v>
      </c>
      <c r="AA99" s="142">
        <f t="shared" si="118"/>
        <v>0</v>
      </c>
      <c r="AB99" s="142">
        <f t="shared" si="118"/>
        <v>0</v>
      </c>
      <c r="AC99" s="142">
        <f t="shared" si="118"/>
        <v>0</v>
      </c>
      <c r="AD99" s="142">
        <f>SUM(AD100:AD102)</f>
        <v>0</v>
      </c>
      <c r="AE99" s="142">
        <f t="shared" si="118"/>
        <v>0</v>
      </c>
      <c r="AF99" s="142">
        <f>SUM(AF100:AF101)</f>
        <v>0</v>
      </c>
      <c r="AG99" s="142">
        <f t="shared" si="118"/>
        <v>0</v>
      </c>
      <c r="AH99" s="142">
        <f t="shared" si="118"/>
        <v>0</v>
      </c>
      <c r="AI99" s="142">
        <f t="shared" si="118"/>
        <v>0</v>
      </c>
      <c r="AJ99" s="142">
        <f>SUM(AJ100:AJ102)</f>
        <v>0</v>
      </c>
      <c r="AK99" s="142">
        <f t="shared" si="118"/>
        <v>0</v>
      </c>
      <c r="AL99" s="142">
        <f>SUM(AL100:AL102)</f>
        <v>0</v>
      </c>
      <c r="AM99" s="142">
        <f t="shared" ref="AM99:CD99" si="120">SUM(AM100:AM102)</f>
        <v>0</v>
      </c>
      <c r="AN99" s="142">
        <f t="shared" si="120"/>
        <v>0</v>
      </c>
      <c r="AO99" s="142">
        <f t="shared" si="120"/>
        <v>0</v>
      </c>
      <c r="AP99" s="142">
        <f>SUM(AP100:AP102)</f>
        <v>0</v>
      </c>
      <c r="AQ99" s="142">
        <f t="shared" si="120"/>
        <v>0</v>
      </c>
      <c r="AR99" s="142">
        <f t="shared" si="120"/>
        <v>0</v>
      </c>
      <c r="AS99" s="142">
        <f t="shared" si="120"/>
        <v>0</v>
      </c>
      <c r="AT99" s="142">
        <f t="shared" si="120"/>
        <v>0</v>
      </c>
      <c r="AU99" s="142">
        <f t="shared" si="120"/>
        <v>0</v>
      </c>
      <c r="AV99" s="142">
        <f>SUM(AV100:AV102)</f>
        <v>0</v>
      </c>
      <c r="AW99" s="142">
        <f t="shared" si="120"/>
        <v>0</v>
      </c>
      <c r="AX99" s="142">
        <f t="shared" si="120"/>
        <v>0</v>
      </c>
      <c r="AY99" s="142">
        <f t="shared" si="120"/>
        <v>0</v>
      </c>
      <c r="AZ99" s="142">
        <f t="shared" si="120"/>
        <v>0</v>
      </c>
      <c r="BA99" s="142">
        <f t="shared" si="120"/>
        <v>0</v>
      </c>
      <c r="BB99" s="142">
        <f>SUM(BB100:BB102)</f>
        <v>0</v>
      </c>
      <c r="BC99" s="142">
        <f t="shared" si="120"/>
        <v>0</v>
      </c>
      <c r="BD99" s="142">
        <f t="shared" si="120"/>
        <v>0</v>
      </c>
      <c r="BE99" s="142">
        <f t="shared" si="120"/>
        <v>0</v>
      </c>
      <c r="BF99" s="142">
        <f t="shared" si="120"/>
        <v>0</v>
      </c>
      <c r="BG99" s="142">
        <f t="shared" si="120"/>
        <v>0</v>
      </c>
      <c r="BH99" s="142">
        <f>SUM(BH100:BH102)</f>
        <v>0</v>
      </c>
      <c r="BI99" s="142">
        <f t="shared" si="120"/>
        <v>0</v>
      </c>
      <c r="BJ99" s="142">
        <f t="shared" si="120"/>
        <v>0</v>
      </c>
      <c r="BK99" s="142">
        <f t="shared" si="120"/>
        <v>0</v>
      </c>
      <c r="BL99" s="142">
        <f t="shared" si="120"/>
        <v>0</v>
      </c>
      <c r="BM99" s="142">
        <f t="shared" si="120"/>
        <v>0</v>
      </c>
      <c r="BN99" s="142">
        <f>SUM(BN100:BN102)</f>
        <v>0</v>
      </c>
      <c r="BO99" s="142">
        <f t="shared" si="120"/>
        <v>0</v>
      </c>
      <c r="BP99" s="142">
        <f t="shared" si="120"/>
        <v>0</v>
      </c>
      <c r="BQ99" s="142">
        <f t="shared" si="120"/>
        <v>0</v>
      </c>
      <c r="BR99" s="142">
        <f t="shared" si="120"/>
        <v>0</v>
      </c>
      <c r="BS99" s="142">
        <f t="shared" si="120"/>
        <v>0</v>
      </c>
      <c r="BT99" s="142">
        <f>SUM(BT100:BT102)</f>
        <v>0</v>
      </c>
      <c r="BU99" s="142">
        <f t="shared" si="120"/>
        <v>0</v>
      </c>
      <c r="BV99" s="142">
        <f>SUM(BV100:BV102)</f>
        <v>0</v>
      </c>
      <c r="BW99" s="142">
        <f t="shared" si="120"/>
        <v>0</v>
      </c>
      <c r="BX99" s="142">
        <f t="shared" si="120"/>
        <v>0</v>
      </c>
      <c r="BY99" s="142">
        <f t="shared" si="120"/>
        <v>0</v>
      </c>
      <c r="BZ99" s="142">
        <f>SUM(BZ100:BZ102)</f>
        <v>0</v>
      </c>
      <c r="CA99" s="142">
        <f>SUM(CA100:CA102)</f>
        <v>0</v>
      </c>
      <c r="CB99" s="142">
        <f t="shared" si="120"/>
        <v>0</v>
      </c>
      <c r="CC99" s="142">
        <f t="shared" si="120"/>
        <v>0</v>
      </c>
      <c r="CD99" s="142">
        <f t="shared" si="120"/>
        <v>0</v>
      </c>
      <c r="CE99" s="144"/>
      <c r="CF99" s="144"/>
    </row>
    <row r="100" spans="1:84">
      <c r="A100" s="31"/>
      <c r="B100" s="32"/>
      <c r="C100" s="32" t="s">
        <v>241</v>
      </c>
      <c r="D100" s="32"/>
      <c r="E100" s="33"/>
      <c r="F100" s="33"/>
      <c r="G100" s="33"/>
      <c r="H100" s="33"/>
      <c r="I100" s="33"/>
      <c r="J100" s="33"/>
      <c r="K100" s="33"/>
      <c r="L100" s="33">
        <f>SUM(F100-G100+H100)</f>
        <v>0</v>
      </c>
      <c r="M100" s="33"/>
      <c r="N100" s="33"/>
      <c r="O100" s="33"/>
      <c r="P100" s="33"/>
      <c r="Q100" s="33"/>
      <c r="R100" s="33">
        <f>SUM(L100-M100+N100)</f>
        <v>0</v>
      </c>
      <c r="S100" s="33"/>
      <c r="T100" s="33">
        <v>0</v>
      </c>
      <c r="U100" s="33"/>
      <c r="V100" s="33"/>
      <c r="W100" s="33"/>
      <c r="X100" s="33">
        <f>SUM(R100-S100+T100)</f>
        <v>0</v>
      </c>
      <c r="Y100" s="33"/>
      <c r="Z100" s="33"/>
      <c r="AA100" s="33"/>
      <c r="AB100" s="33"/>
      <c r="AC100" s="33"/>
      <c r="AD100" s="33">
        <f>SUM(X100-Y100+Z100)</f>
        <v>0</v>
      </c>
      <c r="AE100" s="33"/>
      <c r="AF100" s="33"/>
      <c r="AG100" s="33"/>
      <c r="AH100" s="33"/>
      <c r="AI100" s="33"/>
      <c r="AJ100" s="33">
        <f>SUM(AD100-AE100+AF100)</f>
        <v>0</v>
      </c>
      <c r="AK100" s="33"/>
      <c r="AL100" s="33"/>
      <c r="AM100" s="33"/>
      <c r="AN100" s="33"/>
      <c r="AO100" s="33"/>
      <c r="AP100" s="33">
        <f>SUM(AJ100-AK100+AL100)</f>
        <v>0</v>
      </c>
      <c r="AQ100" s="33"/>
      <c r="AR100" s="33"/>
      <c r="AS100" s="33"/>
      <c r="AT100" s="33"/>
      <c r="AU100" s="33"/>
      <c r="AV100" s="33">
        <f>SUM(AP100-AQ100+AR100)</f>
        <v>0</v>
      </c>
      <c r="AW100" s="33"/>
      <c r="AX100" s="33">
        <v>0</v>
      </c>
      <c r="AY100" s="33"/>
      <c r="AZ100" s="33"/>
      <c r="BA100" s="33"/>
      <c r="BB100" s="33">
        <f>SUM(AV100-AW100+AX100)</f>
        <v>0</v>
      </c>
      <c r="BC100" s="33"/>
      <c r="BD100" s="33">
        <v>0</v>
      </c>
      <c r="BE100" s="33"/>
      <c r="BF100" s="33"/>
      <c r="BG100" s="33"/>
      <c r="BH100" s="33">
        <f>SUM(BB100-BC100+BD100)</f>
        <v>0</v>
      </c>
      <c r="BI100" s="33"/>
      <c r="BJ100" s="33">
        <v>0</v>
      </c>
      <c r="BK100" s="33"/>
      <c r="BL100" s="33"/>
      <c r="BM100" s="33"/>
      <c r="BN100" s="33">
        <f>SUM(BH100-BI100+BJ100)</f>
        <v>0</v>
      </c>
      <c r="BO100" s="33"/>
      <c r="BP100" s="33"/>
      <c r="BQ100" s="33"/>
      <c r="BR100" s="33"/>
      <c r="BS100" s="33"/>
      <c r="BT100" s="33">
        <f>SUM(BN100-BO100+BP100)</f>
        <v>0</v>
      </c>
      <c r="BU100" s="33"/>
      <c r="BV100" s="33"/>
      <c r="BW100" s="33"/>
      <c r="BX100" s="33"/>
      <c r="BY100" s="33"/>
      <c r="BZ100" s="33">
        <f>SUM(BT100-BU100+BV100)</f>
        <v>0</v>
      </c>
      <c r="CA100" s="33"/>
      <c r="CB100" s="33"/>
      <c r="CC100" s="33"/>
      <c r="CD100" s="13">
        <f>SUM(BX100-BY100+BZ100-CA100+CB100)</f>
        <v>0</v>
      </c>
    </row>
    <row r="101" spans="1:84">
      <c r="A101" s="66"/>
      <c r="B101" s="67"/>
      <c r="C101" s="67" t="s">
        <v>315</v>
      </c>
      <c r="D101" s="67"/>
      <c r="E101" s="51"/>
      <c r="F101" s="51"/>
      <c r="G101" s="51"/>
      <c r="H101" s="51"/>
      <c r="I101" s="51"/>
      <c r="J101" s="51"/>
      <c r="K101" s="51"/>
      <c r="L101" s="51">
        <f>SUM(F101-G101+H101)</f>
        <v>0</v>
      </c>
      <c r="M101" s="51"/>
      <c r="N101" s="51"/>
      <c r="O101" s="51"/>
      <c r="P101" s="51"/>
      <c r="Q101" s="51"/>
      <c r="R101" s="51">
        <f>SUM(L101-M101+N101)</f>
        <v>0</v>
      </c>
      <c r="S101" s="51"/>
      <c r="T101" s="51">
        <v>0</v>
      </c>
      <c r="U101" s="51"/>
      <c r="V101" s="51"/>
      <c r="W101" s="51"/>
      <c r="X101" s="51">
        <f>SUM(R101-S101+T101)</f>
        <v>0</v>
      </c>
      <c r="Y101" s="51"/>
      <c r="Z101" s="51"/>
      <c r="AA101" s="51"/>
      <c r="AB101" s="51"/>
      <c r="AC101" s="51"/>
      <c r="AD101" s="51">
        <f>SUM(X101-Y101+Z101)</f>
        <v>0</v>
      </c>
      <c r="AE101" s="51"/>
      <c r="AF101" s="51"/>
      <c r="AG101" s="51"/>
      <c r="AH101" s="51"/>
      <c r="AI101" s="51"/>
      <c r="AJ101" s="51">
        <f>SUM(AD101-AE101+AF101)</f>
        <v>0</v>
      </c>
      <c r="AK101" s="51"/>
      <c r="AL101" s="51"/>
      <c r="AM101" s="51"/>
      <c r="AN101" s="51"/>
      <c r="AO101" s="51"/>
      <c r="AP101" s="51">
        <f>SUM(AJ101-AK101+AL101)</f>
        <v>0</v>
      </c>
      <c r="AQ101" s="51"/>
      <c r="AR101" s="51">
        <v>0</v>
      </c>
      <c r="AS101" s="51"/>
      <c r="AT101" s="51"/>
      <c r="AU101" s="51"/>
      <c r="AV101" s="51">
        <f>SUM(AP101-AQ101+AR101)</f>
        <v>0</v>
      </c>
      <c r="AW101" s="51"/>
      <c r="AX101" s="51">
        <v>0</v>
      </c>
      <c r="AY101" s="51"/>
      <c r="AZ101" s="51"/>
      <c r="BA101" s="51"/>
      <c r="BB101" s="51">
        <f>SUM(AV101-AW101+AX101)</f>
        <v>0</v>
      </c>
      <c r="BC101" s="51"/>
      <c r="BD101" s="51">
        <v>0</v>
      </c>
      <c r="BE101" s="51"/>
      <c r="BF101" s="51"/>
      <c r="BG101" s="51"/>
      <c r="BH101" s="51">
        <f>SUM(BB101-BC101+BD101)</f>
        <v>0</v>
      </c>
      <c r="BI101" s="51"/>
      <c r="BJ101" s="51">
        <v>0</v>
      </c>
      <c r="BK101" s="51"/>
      <c r="BL101" s="51"/>
      <c r="BM101" s="51"/>
      <c r="BN101" s="51">
        <f>SUM(BH101-BI101+BJ101)</f>
        <v>0</v>
      </c>
      <c r="BO101" s="51"/>
      <c r="BP101" s="51"/>
      <c r="BQ101" s="51"/>
      <c r="BR101" s="51"/>
      <c r="BS101" s="51"/>
      <c r="BT101" s="51">
        <f>SUM(BN101-BO101+BP101)</f>
        <v>0</v>
      </c>
      <c r="BU101" s="51"/>
      <c r="BV101" s="51"/>
      <c r="BW101" s="51"/>
      <c r="BX101" s="51"/>
      <c r="BY101" s="51"/>
      <c r="BZ101" s="51">
        <f>SUM(BT101-BU101+BV101)</f>
        <v>0</v>
      </c>
      <c r="CA101" s="51"/>
      <c r="CB101" s="51"/>
      <c r="CC101" s="51"/>
      <c r="CD101" s="51">
        <f>SUM(BX101-BY101+BZ101-CA101+CB101)</f>
        <v>0</v>
      </c>
    </row>
    <row r="102" spans="1:84" s="67" customFormat="1">
      <c r="A102" s="37"/>
      <c r="B102" s="38"/>
      <c r="C102" s="408" t="s">
        <v>316</v>
      </c>
      <c r="D102" s="409"/>
      <c r="E102" s="39"/>
      <c r="F102" s="39"/>
      <c r="G102" s="39"/>
      <c r="H102" s="39"/>
      <c r="I102" s="39"/>
      <c r="J102" s="39"/>
      <c r="K102" s="39"/>
      <c r="L102" s="51">
        <f>SUM(F102-G102+H102)</f>
        <v>0</v>
      </c>
      <c r="M102" s="39"/>
      <c r="N102" s="39"/>
      <c r="O102" s="39"/>
      <c r="P102" s="39"/>
      <c r="Q102" s="39"/>
      <c r="R102" s="51">
        <f>SUM(L102-M102+N102)</f>
        <v>0</v>
      </c>
      <c r="S102" s="39"/>
      <c r="T102" s="39"/>
      <c r="U102" s="39"/>
      <c r="V102" s="39"/>
      <c r="W102" s="39"/>
      <c r="X102" s="51">
        <f>SUM(R102-S102+T102)</f>
        <v>0</v>
      </c>
      <c r="Y102" s="39"/>
      <c r="Z102" s="39"/>
      <c r="AA102" s="39"/>
      <c r="AB102" s="39"/>
      <c r="AC102" s="39"/>
      <c r="AD102" s="51">
        <f>SUM(X102-Y102+Z102)</f>
        <v>0</v>
      </c>
      <c r="AE102" s="39"/>
      <c r="AF102" s="39"/>
      <c r="AG102" s="39"/>
      <c r="AH102" s="39"/>
      <c r="AI102" s="39"/>
      <c r="AJ102" s="51">
        <f>SUM(AD102-AE102+AF102)</f>
        <v>0</v>
      </c>
      <c r="AK102" s="39"/>
      <c r="AL102" s="39"/>
      <c r="AM102" s="39"/>
      <c r="AN102" s="39"/>
      <c r="AO102" s="39"/>
      <c r="AP102" s="51">
        <f>SUM(AJ102-AK102+AL102)</f>
        <v>0</v>
      </c>
      <c r="AQ102" s="39"/>
      <c r="AR102" s="39"/>
      <c r="AS102" s="39"/>
      <c r="AT102" s="39"/>
      <c r="AU102" s="39"/>
      <c r="AV102" s="51">
        <f>SUM(AP102-AQ102+AR102)</f>
        <v>0</v>
      </c>
      <c r="AW102" s="39"/>
      <c r="AX102" s="39">
        <v>0</v>
      </c>
      <c r="AY102" s="39"/>
      <c r="AZ102" s="39"/>
      <c r="BA102" s="39"/>
      <c r="BB102" s="51">
        <f>SUM(AV102-AW102+AX102)</f>
        <v>0</v>
      </c>
      <c r="BC102" s="39"/>
      <c r="BD102" s="39"/>
      <c r="BE102" s="39"/>
      <c r="BF102" s="39"/>
      <c r="BG102" s="39"/>
      <c r="BH102" s="51">
        <f>SUM(BB102-BC102+BD102)</f>
        <v>0</v>
      </c>
      <c r="BI102" s="39"/>
      <c r="BJ102" s="39">
        <v>0</v>
      </c>
      <c r="BK102" s="39"/>
      <c r="BL102" s="39"/>
      <c r="BM102" s="39"/>
      <c r="BN102" s="51">
        <f>SUM(BH102-BI102+BJ102)</f>
        <v>0</v>
      </c>
      <c r="BO102" s="39"/>
      <c r="BP102" s="39"/>
      <c r="BQ102" s="39"/>
      <c r="BR102" s="39"/>
      <c r="BS102" s="39"/>
      <c r="BT102" s="51">
        <f>SUM(BN102-BO102+BP102)</f>
        <v>0</v>
      </c>
      <c r="BU102" s="39"/>
      <c r="BV102" s="39"/>
      <c r="BW102" s="39"/>
      <c r="BX102" s="39"/>
      <c r="BY102" s="39"/>
      <c r="BZ102" s="51">
        <f>SUM(BT102-BU102+BV102)</f>
        <v>0</v>
      </c>
      <c r="CA102" s="39"/>
      <c r="CB102" s="39"/>
      <c r="CC102" s="39"/>
      <c r="CD102" s="51">
        <f>SUM(BX102-BY102+BZ102-CA102+CB102)</f>
        <v>0</v>
      </c>
      <c r="CE102" s="122"/>
      <c r="CF102" s="122"/>
    </row>
    <row r="103" spans="1:84" s="145" customFormat="1">
      <c r="A103" s="140"/>
      <c r="B103" s="141" t="s">
        <v>305</v>
      </c>
      <c r="C103" s="141"/>
      <c r="D103" s="141"/>
      <c r="E103" s="142">
        <f t="shared" ref="E103:Q103" si="121">SUM(E104:E109)</f>
        <v>0</v>
      </c>
      <c r="F103" s="142">
        <f t="shared" si="121"/>
        <v>0</v>
      </c>
      <c r="G103" s="142">
        <f>SUM(G104:G114)</f>
        <v>0</v>
      </c>
      <c r="H103" s="142">
        <f>SUM(H104:H114)</f>
        <v>0</v>
      </c>
      <c r="I103" s="142">
        <f t="shared" ref="I103:J103" si="122">SUM(I104:I114)</f>
        <v>0</v>
      </c>
      <c r="J103" s="142">
        <f t="shared" si="122"/>
        <v>0</v>
      </c>
      <c r="K103" s="142">
        <f>SUM(K104:K114)</f>
        <v>0</v>
      </c>
      <c r="L103" s="142">
        <f>SUM(L104:L114)</f>
        <v>0</v>
      </c>
      <c r="M103" s="142">
        <f t="shared" si="121"/>
        <v>0</v>
      </c>
      <c r="N103" s="142">
        <f>SUM(N104:N114)</f>
        <v>3485940</v>
      </c>
      <c r="O103" s="142">
        <f>SUM(O104:O114)</f>
        <v>0</v>
      </c>
      <c r="P103" s="142">
        <f>SUM(P104:P114)</f>
        <v>0</v>
      </c>
      <c r="Q103" s="142">
        <f t="shared" si="121"/>
        <v>0</v>
      </c>
      <c r="R103" s="142">
        <f>SUM(R104:R114)</f>
        <v>3485940</v>
      </c>
      <c r="S103" s="142">
        <f t="shared" ref="S103:CD103" si="123">SUM(S104:S114)</f>
        <v>0</v>
      </c>
      <c r="T103" s="142">
        <f>SUM(T104:T114)</f>
        <v>2103200</v>
      </c>
      <c r="U103" s="142">
        <f t="shared" si="123"/>
        <v>0</v>
      </c>
      <c r="V103" s="142">
        <f t="shared" si="123"/>
        <v>0</v>
      </c>
      <c r="W103" s="142">
        <f t="shared" si="123"/>
        <v>0</v>
      </c>
      <c r="X103" s="142">
        <f>SUM(X104:X114)</f>
        <v>5589140</v>
      </c>
      <c r="Y103" s="142">
        <f t="shared" si="123"/>
        <v>0</v>
      </c>
      <c r="Z103" s="142">
        <f>SUM(Z104:Z114)</f>
        <v>381310</v>
      </c>
      <c r="AA103" s="142">
        <f t="shared" si="123"/>
        <v>0</v>
      </c>
      <c r="AB103" s="142">
        <f t="shared" si="123"/>
        <v>0</v>
      </c>
      <c r="AC103" s="142">
        <f t="shared" si="123"/>
        <v>0</v>
      </c>
      <c r="AD103" s="142">
        <f>SUM(AD104:AD114)</f>
        <v>5970450</v>
      </c>
      <c r="AE103" s="142">
        <f t="shared" si="123"/>
        <v>0</v>
      </c>
      <c r="AF103" s="142">
        <f>SUM(AF104:AF114)</f>
        <v>0</v>
      </c>
      <c r="AG103" s="142">
        <f t="shared" si="123"/>
        <v>0</v>
      </c>
      <c r="AH103" s="142">
        <f t="shared" si="123"/>
        <v>0</v>
      </c>
      <c r="AI103" s="142">
        <f t="shared" si="123"/>
        <v>0</v>
      </c>
      <c r="AJ103" s="142">
        <f>SUM(AJ104:AJ114)</f>
        <v>5970450</v>
      </c>
      <c r="AK103" s="142">
        <f t="shared" si="123"/>
        <v>0</v>
      </c>
      <c r="AL103" s="142">
        <f>SUM(AL104:AL114)</f>
        <v>0</v>
      </c>
      <c r="AM103" s="142">
        <f t="shared" si="123"/>
        <v>0</v>
      </c>
      <c r="AN103" s="142">
        <f t="shared" si="123"/>
        <v>0</v>
      </c>
      <c r="AO103" s="142">
        <f t="shared" si="123"/>
        <v>0</v>
      </c>
      <c r="AP103" s="142">
        <f>SUM(AP104:AP114)</f>
        <v>5970450</v>
      </c>
      <c r="AQ103" s="142">
        <f t="shared" si="123"/>
        <v>0</v>
      </c>
      <c r="AR103" s="142">
        <f t="shared" si="123"/>
        <v>0</v>
      </c>
      <c r="AS103" s="142">
        <f t="shared" si="123"/>
        <v>0</v>
      </c>
      <c r="AT103" s="142">
        <f t="shared" si="123"/>
        <v>0</v>
      </c>
      <c r="AU103" s="142">
        <f t="shared" si="123"/>
        <v>0</v>
      </c>
      <c r="AV103" s="142">
        <f>SUM(AV104:AV114)</f>
        <v>5970450</v>
      </c>
      <c r="AW103" s="142">
        <f t="shared" si="123"/>
        <v>0</v>
      </c>
      <c r="AX103" s="142">
        <f t="shared" si="123"/>
        <v>0</v>
      </c>
      <c r="AY103" s="142">
        <f t="shared" si="123"/>
        <v>0</v>
      </c>
      <c r="AZ103" s="142">
        <f t="shared" si="123"/>
        <v>0</v>
      </c>
      <c r="BA103" s="142">
        <f t="shared" si="123"/>
        <v>0</v>
      </c>
      <c r="BB103" s="142">
        <f>SUM(BB104:BB114)</f>
        <v>5970450</v>
      </c>
      <c r="BC103" s="142">
        <f t="shared" si="123"/>
        <v>0</v>
      </c>
      <c r="BD103" s="142">
        <f t="shared" si="123"/>
        <v>0</v>
      </c>
      <c r="BE103" s="142">
        <f>SUM(BE104:BE114)</f>
        <v>0</v>
      </c>
      <c r="BF103" s="142">
        <f>SUM(BF104:BF114)</f>
        <v>0</v>
      </c>
      <c r="BG103" s="142">
        <f>SUM(BG104:BG114)</f>
        <v>0</v>
      </c>
      <c r="BH103" s="142">
        <f>SUM(BH104:BH114)</f>
        <v>5970450</v>
      </c>
      <c r="BI103" s="142">
        <f t="shared" si="123"/>
        <v>0</v>
      </c>
      <c r="BJ103" s="142">
        <f t="shared" si="123"/>
        <v>0</v>
      </c>
      <c r="BK103" s="142">
        <f t="shared" si="123"/>
        <v>0</v>
      </c>
      <c r="BL103" s="142">
        <f t="shared" si="123"/>
        <v>0</v>
      </c>
      <c r="BM103" s="142">
        <f t="shared" si="123"/>
        <v>0</v>
      </c>
      <c r="BN103" s="142">
        <f>SUM(BN104:BN114)</f>
        <v>5970450</v>
      </c>
      <c r="BO103" s="142">
        <f t="shared" si="123"/>
        <v>0</v>
      </c>
      <c r="BP103" s="142">
        <f>SUM(BP104:BP114)</f>
        <v>0</v>
      </c>
      <c r="BQ103" s="142">
        <f t="shared" si="123"/>
        <v>0</v>
      </c>
      <c r="BR103" s="142">
        <f t="shared" si="123"/>
        <v>0</v>
      </c>
      <c r="BS103" s="142">
        <f t="shared" si="123"/>
        <v>0</v>
      </c>
      <c r="BT103" s="142">
        <f>SUM(BT104:BT114)</f>
        <v>5970450</v>
      </c>
      <c r="BU103" s="142">
        <f>SUM(BU104:BU114)</f>
        <v>0</v>
      </c>
      <c r="BV103" s="142">
        <f>SUM(BV104:BV114)</f>
        <v>0</v>
      </c>
      <c r="BW103" s="142">
        <f t="shared" si="123"/>
        <v>0</v>
      </c>
      <c r="BX103" s="142">
        <f t="shared" si="123"/>
        <v>0</v>
      </c>
      <c r="BY103" s="142">
        <f t="shared" si="123"/>
        <v>0</v>
      </c>
      <c r="BZ103" s="142">
        <f>SUM(BZ104:BZ114)</f>
        <v>5970450</v>
      </c>
      <c r="CA103" s="143">
        <f>SUM(CA104:CA114)</f>
        <v>0</v>
      </c>
      <c r="CB103" s="143">
        <f t="shared" si="123"/>
        <v>0</v>
      </c>
      <c r="CC103" s="142">
        <f t="shared" si="123"/>
        <v>0</v>
      </c>
      <c r="CD103" s="142">
        <f t="shared" si="123"/>
        <v>5970450</v>
      </c>
      <c r="CE103" s="144"/>
      <c r="CF103" s="144"/>
    </row>
    <row r="104" spans="1:84">
      <c r="A104" s="31"/>
      <c r="B104" s="32"/>
      <c r="C104" s="32" t="s">
        <v>306</v>
      </c>
      <c r="D104" s="32"/>
      <c r="E104" s="33"/>
      <c r="F104" s="33"/>
      <c r="G104" s="33"/>
      <c r="H104" s="33"/>
      <c r="I104" s="33"/>
      <c r="J104" s="33"/>
      <c r="K104" s="33"/>
      <c r="L104" s="33">
        <f t="shared" ref="L104:L108" si="124">SUM(F104-G104+H104-I104+J104)</f>
        <v>0</v>
      </c>
      <c r="M104" s="33"/>
      <c r="N104" s="33">
        <v>2496000</v>
      </c>
      <c r="O104" s="33"/>
      <c r="P104" s="33"/>
      <c r="Q104" s="33"/>
      <c r="R104" s="33">
        <f t="shared" ref="R104:R114" si="125">SUM(L104-M104+N104-O104+P104)</f>
        <v>2496000</v>
      </c>
      <c r="S104" s="33"/>
      <c r="T104" s="33">
        <v>1664000</v>
      </c>
      <c r="U104" s="33"/>
      <c r="V104" s="33"/>
      <c r="W104" s="33"/>
      <c r="X104" s="33">
        <f>SUM(R104-S104+T104-U104+V104)</f>
        <v>4160000</v>
      </c>
      <c r="Y104" s="33"/>
      <c r="Z104" s="33"/>
      <c r="AA104" s="33"/>
      <c r="AB104" s="33"/>
      <c r="AC104" s="33"/>
      <c r="AD104" s="33">
        <f t="shared" ref="AD104:AD113" si="126">SUM(X104-Y104+Z104-AA104+AB104)</f>
        <v>4160000</v>
      </c>
      <c r="AE104" s="33"/>
      <c r="AF104" s="33"/>
      <c r="AG104" s="33"/>
      <c r="AH104" s="33"/>
      <c r="AI104" s="33"/>
      <c r="AJ104" s="33">
        <f t="shared" ref="AJ104:AJ113" si="127">SUM(AD104-AE104+AF104-AG104+AH104)</f>
        <v>4160000</v>
      </c>
      <c r="AK104" s="33"/>
      <c r="AL104" s="33"/>
      <c r="AM104" s="33"/>
      <c r="AN104" s="33"/>
      <c r="AO104" s="33"/>
      <c r="AP104" s="33">
        <f t="shared" ref="AP104:AP113" si="128">SUM(AJ104-AK104+AL104-AM104+AN104)</f>
        <v>4160000</v>
      </c>
      <c r="AQ104" s="33"/>
      <c r="AR104" s="33"/>
      <c r="AS104" s="33"/>
      <c r="AT104" s="33"/>
      <c r="AU104" s="33"/>
      <c r="AV104" s="33">
        <f t="shared" ref="AV104:AV113" si="129">SUM(AP104-AQ104+AR104-AS104+AT104)</f>
        <v>4160000</v>
      </c>
      <c r="AW104" s="33"/>
      <c r="AX104" s="33"/>
      <c r="AY104" s="33"/>
      <c r="AZ104" s="33"/>
      <c r="BA104" s="33"/>
      <c r="BB104" s="33">
        <f t="shared" ref="BB104:BB113" si="130">SUM(AV104-AW104+AX104-AY104+AZ104)</f>
        <v>4160000</v>
      </c>
      <c r="BC104" s="33"/>
      <c r="BD104" s="33"/>
      <c r="BE104" s="33"/>
      <c r="BF104" s="33"/>
      <c r="BG104" s="33"/>
      <c r="BH104" s="33">
        <f t="shared" ref="BH104:BH113" si="131">SUM(BB104-BC104+BD104-BE104+BF104)</f>
        <v>4160000</v>
      </c>
      <c r="BI104" s="33"/>
      <c r="BJ104" s="33"/>
      <c r="BK104" s="33"/>
      <c r="BL104" s="33"/>
      <c r="BM104" s="33"/>
      <c r="BN104" s="33">
        <f t="shared" ref="BN104:BN111" si="132">SUM(BH104-BI104+BJ104-BK104+BL104)</f>
        <v>4160000</v>
      </c>
      <c r="BO104" s="33"/>
      <c r="BP104" s="33"/>
      <c r="BQ104" s="33"/>
      <c r="BR104" s="33"/>
      <c r="BS104" s="33"/>
      <c r="BT104" s="33">
        <f t="shared" ref="BT104:BT109" si="133">SUM(BN104-BO104+BP104-BQ104+BR104)</f>
        <v>4160000</v>
      </c>
      <c r="BU104" s="33"/>
      <c r="BV104" s="33"/>
      <c r="BW104" s="33"/>
      <c r="BX104" s="33"/>
      <c r="BY104" s="33"/>
      <c r="BZ104" s="33">
        <f t="shared" ref="BZ104:BZ114" si="134">SUM(BT104-BU104+BV104-BW104+BX104)</f>
        <v>4160000</v>
      </c>
      <c r="CA104" s="33"/>
      <c r="CB104" s="33"/>
      <c r="CC104" s="33"/>
      <c r="CD104" s="33">
        <f>SUM(BX104-BY104+BZ104-CA104+CB104)</f>
        <v>4160000</v>
      </c>
    </row>
    <row r="105" spans="1:84">
      <c r="A105" s="34"/>
      <c r="B105" s="35"/>
      <c r="C105" s="35" t="s">
        <v>307</v>
      </c>
      <c r="D105" s="35"/>
      <c r="E105" s="36"/>
      <c r="F105" s="36"/>
      <c r="G105" s="36"/>
      <c r="H105" s="36"/>
      <c r="I105" s="36"/>
      <c r="J105" s="36"/>
      <c r="K105" s="36"/>
      <c r="L105" s="36">
        <f t="shared" si="124"/>
        <v>0</v>
      </c>
      <c r="M105" s="36"/>
      <c r="N105" s="36">
        <v>439200</v>
      </c>
      <c r="O105" s="36"/>
      <c r="P105" s="36"/>
      <c r="Q105" s="36"/>
      <c r="R105" s="36">
        <f t="shared" si="125"/>
        <v>439200</v>
      </c>
      <c r="S105" s="36"/>
      <c r="T105" s="36">
        <v>439200</v>
      </c>
      <c r="U105" s="36"/>
      <c r="V105" s="36"/>
      <c r="W105" s="36"/>
      <c r="X105" s="36">
        <f>SUM(R105-S105+T105-U105+V105)</f>
        <v>878400</v>
      </c>
      <c r="Y105" s="36"/>
      <c r="Z105" s="36">
        <v>0</v>
      </c>
      <c r="AA105" s="36"/>
      <c r="AB105" s="36"/>
      <c r="AC105" s="36"/>
      <c r="AD105" s="36">
        <f t="shared" si="126"/>
        <v>878400</v>
      </c>
      <c r="AE105" s="36"/>
      <c r="AF105" s="36"/>
      <c r="AG105" s="36"/>
      <c r="AH105" s="36"/>
      <c r="AI105" s="36"/>
      <c r="AJ105" s="36">
        <f t="shared" si="127"/>
        <v>878400</v>
      </c>
      <c r="AK105" s="36"/>
      <c r="AL105" s="36"/>
      <c r="AM105" s="36"/>
      <c r="AN105" s="36"/>
      <c r="AO105" s="36"/>
      <c r="AP105" s="36">
        <f t="shared" si="128"/>
        <v>878400</v>
      </c>
      <c r="AQ105" s="36"/>
      <c r="AR105" s="36"/>
      <c r="AS105" s="36"/>
      <c r="AT105" s="36"/>
      <c r="AU105" s="36"/>
      <c r="AV105" s="36">
        <f t="shared" si="129"/>
        <v>878400</v>
      </c>
      <c r="AW105" s="36"/>
      <c r="AX105" s="36"/>
      <c r="AY105" s="36"/>
      <c r="AZ105" s="36"/>
      <c r="BA105" s="36"/>
      <c r="BB105" s="36">
        <f t="shared" si="130"/>
        <v>878400</v>
      </c>
      <c r="BC105" s="36"/>
      <c r="BD105" s="36"/>
      <c r="BE105" s="36"/>
      <c r="BF105" s="36"/>
      <c r="BG105" s="36"/>
      <c r="BH105" s="36">
        <f t="shared" si="131"/>
        <v>878400</v>
      </c>
      <c r="BI105" s="36"/>
      <c r="BJ105" s="36">
        <v>0</v>
      </c>
      <c r="BK105" s="36"/>
      <c r="BL105" s="36"/>
      <c r="BM105" s="36"/>
      <c r="BN105" s="36">
        <f t="shared" si="132"/>
        <v>878400</v>
      </c>
      <c r="BO105" s="36"/>
      <c r="BP105" s="36"/>
      <c r="BQ105" s="36"/>
      <c r="BR105" s="36"/>
      <c r="BS105" s="36"/>
      <c r="BT105" s="36">
        <f t="shared" si="133"/>
        <v>878400</v>
      </c>
      <c r="BU105" s="36"/>
      <c r="BV105" s="36"/>
      <c r="BW105" s="36"/>
      <c r="BX105" s="36"/>
      <c r="BY105" s="36"/>
      <c r="BZ105" s="36">
        <f t="shared" si="134"/>
        <v>878400</v>
      </c>
      <c r="CA105" s="36"/>
      <c r="CB105" s="36"/>
      <c r="CC105" s="36"/>
      <c r="CD105" s="36">
        <f t="shared" ref="CD105:CD114" si="135">SUM(BX105-BY105+BZ105-CA105+CB105)</f>
        <v>878400</v>
      </c>
    </row>
    <row r="106" spans="1:84">
      <c r="A106" s="34"/>
      <c r="B106" s="35"/>
      <c r="C106" s="35" t="s">
        <v>241</v>
      </c>
      <c r="D106" s="35"/>
      <c r="E106" s="36"/>
      <c r="F106" s="36"/>
      <c r="G106" s="36"/>
      <c r="H106" s="36"/>
      <c r="I106" s="36"/>
      <c r="J106" s="36"/>
      <c r="K106" s="36"/>
      <c r="L106" s="36">
        <f t="shared" si="124"/>
        <v>0</v>
      </c>
      <c r="M106" s="36"/>
      <c r="N106" s="36"/>
      <c r="O106" s="36"/>
      <c r="P106" s="36"/>
      <c r="Q106" s="36"/>
      <c r="R106" s="36">
        <f t="shared" si="125"/>
        <v>0</v>
      </c>
      <c r="S106" s="36"/>
      <c r="T106" s="36"/>
      <c r="U106" s="36"/>
      <c r="V106" s="36"/>
      <c r="W106" s="36"/>
      <c r="X106" s="36">
        <f t="shared" ref="X106:X114" si="136">SUM(R106-S106+T106-U106+V106)</f>
        <v>0</v>
      </c>
      <c r="Y106" s="36"/>
      <c r="Z106" s="36">
        <v>35000</v>
      </c>
      <c r="AA106" s="36"/>
      <c r="AB106" s="36"/>
      <c r="AC106" s="36"/>
      <c r="AD106" s="36">
        <f t="shared" si="126"/>
        <v>35000</v>
      </c>
      <c r="AE106" s="36"/>
      <c r="AF106" s="171"/>
      <c r="AG106" s="36"/>
      <c r="AH106" s="36"/>
      <c r="AI106" s="36"/>
      <c r="AJ106" s="36">
        <f t="shared" si="127"/>
        <v>35000</v>
      </c>
      <c r="AK106" s="36"/>
      <c r="AL106" s="36"/>
      <c r="AM106" s="36"/>
      <c r="AN106" s="36"/>
      <c r="AO106" s="36"/>
      <c r="AP106" s="36">
        <f t="shared" si="128"/>
        <v>35000</v>
      </c>
      <c r="AQ106" s="36"/>
      <c r="AR106" s="36"/>
      <c r="AS106" s="36"/>
      <c r="AT106" s="36"/>
      <c r="AU106" s="36"/>
      <c r="AV106" s="36">
        <f t="shared" si="129"/>
        <v>35000</v>
      </c>
      <c r="AW106" s="36"/>
      <c r="AX106" s="36"/>
      <c r="AY106" s="36"/>
      <c r="AZ106" s="36"/>
      <c r="BA106" s="36"/>
      <c r="BB106" s="36">
        <f t="shared" si="130"/>
        <v>35000</v>
      </c>
      <c r="BC106" s="36"/>
      <c r="BD106" s="36"/>
      <c r="BE106" s="36"/>
      <c r="BF106" s="36"/>
      <c r="BG106" s="36"/>
      <c r="BH106" s="36">
        <f t="shared" si="131"/>
        <v>35000</v>
      </c>
      <c r="BI106" s="36"/>
      <c r="BJ106" s="36"/>
      <c r="BK106" s="36"/>
      <c r="BL106" s="36"/>
      <c r="BM106" s="36"/>
      <c r="BN106" s="36">
        <f t="shared" si="132"/>
        <v>35000</v>
      </c>
      <c r="BO106" s="36"/>
      <c r="BP106" s="36"/>
      <c r="BQ106" s="36"/>
      <c r="BR106" s="36"/>
      <c r="BS106" s="36"/>
      <c r="BT106" s="36">
        <f t="shared" si="133"/>
        <v>35000</v>
      </c>
      <c r="BU106" s="36"/>
      <c r="BV106" s="36"/>
      <c r="BW106" s="36"/>
      <c r="BX106" s="36"/>
      <c r="BY106" s="36"/>
      <c r="BZ106" s="36">
        <f t="shared" si="134"/>
        <v>35000</v>
      </c>
      <c r="CA106" s="36"/>
      <c r="CB106" s="36"/>
      <c r="CC106" s="36"/>
      <c r="CD106" s="36">
        <f t="shared" si="135"/>
        <v>35000</v>
      </c>
    </row>
    <row r="107" spans="1:84">
      <c r="A107" s="34"/>
      <c r="B107" s="35"/>
      <c r="C107" s="35" t="s">
        <v>255</v>
      </c>
      <c r="D107" s="35"/>
      <c r="E107" s="36"/>
      <c r="F107" s="36"/>
      <c r="G107" s="36"/>
      <c r="H107" s="36"/>
      <c r="I107" s="36"/>
      <c r="J107" s="36"/>
      <c r="K107" s="36"/>
      <c r="L107" s="36">
        <f t="shared" si="124"/>
        <v>0</v>
      </c>
      <c r="M107" s="36"/>
      <c r="N107" s="36">
        <v>274920</v>
      </c>
      <c r="O107" s="36"/>
      <c r="P107" s="36"/>
      <c r="Q107" s="36"/>
      <c r="R107" s="36">
        <f t="shared" si="125"/>
        <v>274920</v>
      </c>
      <c r="S107" s="36"/>
      <c r="T107" s="36"/>
      <c r="U107" s="36"/>
      <c r="V107" s="36"/>
      <c r="W107" s="36"/>
      <c r="X107" s="36">
        <f t="shared" si="136"/>
        <v>274920</v>
      </c>
      <c r="Y107" s="36"/>
      <c r="Z107" s="36">
        <v>212430</v>
      </c>
      <c r="AA107" s="36"/>
      <c r="AB107" s="36"/>
      <c r="AC107" s="36"/>
      <c r="AD107" s="36">
        <f t="shared" si="126"/>
        <v>487350</v>
      </c>
      <c r="AE107" s="36"/>
      <c r="AF107" s="36"/>
      <c r="AG107" s="36"/>
      <c r="AH107" s="36"/>
      <c r="AI107" s="36"/>
      <c r="AJ107" s="36">
        <f t="shared" si="127"/>
        <v>487350</v>
      </c>
      <c r="AK107" s="36"/>
      <c r="AL107" s="36"/>
      <c r="AM107" s="36"/>
      <c r="AN107" s="36"/>
      <c r="AO107" s="36"/>
      <c r="AP107" s="36">
        <f t="shared" si="128"/>
        <v>487350</v>
      </c>
      <c r="AQ107" s="36"/>
      <c r="AR107" s="36"/>
      <c r="AS107" s="36"/>
      <c r="AT107" s="36"/>
      <c r="AU107" s="36"/>
      <c r="AV107" s="36">
        <f t="shared" si="129"/>
        <v>487350</v>
      </c>
      <c r="AW107" s="36"/>
      <c r="AX107" s="36">
        <v>0</v>
      </c>
      <c r="AY107" s="36"/>
      <c r="AZ107" s="36"/>
      <c r="BA107" s="36"/>
      <c r="BB107" s="36">
        <f t="shared" si="130"/>
        <v>487350</v>
      </c>
      <c r="BC107" s="36"/>
      <c r="BD107" s="36"/>
      <c r="BE107" s="36"/>
      <c r="BF107" s="36"/>
      <c r="BG107" s="36"/>
      <c r="BH107" s="36">
        <f t="shared" si="131"/>
        <v>487350</v>
      </c>
      <c r="BI107" s="36"/>
      <c r="BJ107" s="36"/>
      <c r="BK107" s="36"/>
      <c r="BL107" s="36"/>
      <c r="BM107" s="36"/>
      <c r="BN107" s="36">
        <f t="shared" si="132"/>
        <v>487350</v>
      </c>
      <c r="BO107" s="36"/>
      <c r="BP107" s="36"/>
      <c r="BQ107" s="36"/>
      <c r="BR107" s="36"/>
      <c r="BS107" s="36"/>
      <c r="BT107" s="36">
        <f t="shared" si="133"/>
        <v>487350</v>
      </c>
      <c r="BU107" s="36"/>
      <c r="BV107" s="36"/>
      <c r="BW107" s="36"/>
      <c r="BX107" s="36"/>
      <c r="BY107" s="36"/>
      <c r="BZ107" s="36">
        <f t="shared" si="134"/>
        <v>487350</v>
      </c>
      <c r="CA107" s="36"/>
      <c r="CB107" s="36"/>
      <c r="CC107" s="36"/>
      <c r="CD107" s="36">
        <f t="shared" si="135"/>
        <v>487350</v>
      </c>
    </row>
    <row r="108" spans="1:84">
      <c r="A108" s="34"/>
      <c r="B108" s="35"/>
      <c r="C108" s="35" t="s">
        <v>256</v>
      </c>
      <c r="D108" s="35"/>
      <c r="E108" s="36"/>
      <c r="F108" s="36"/>
      <c r="G108" s="36"/>
      <c r="H108" s="36"/>
      <c r="I108" s="36"/>
      <c r="J108" s="36"/>
      <c r="K108" s="36"/>
      <c r="L108" s="36">
        <f t="shared" si="124"/>
        <v>0</v>
      </c>
      <c r="M108" s="36"/>
      <c r="N108" s="36">
        <v>98400</v>
      </c>
      <c r="O108" s="36"/>
      <c r="P108" s="36"/>
      <c r="Q108" s="36"/>
      <c r="R108" s="36">
        <f t="shared" si="125"/>
        <v>98400</v>
      </c>
      <c r="S108" s="36"/>
      <c r="T108" s="36"/>
      <c r="U108" s="36"/>
      <c r="V108" s="36"/>
      <c r="W108" s="36"/>
      <c r="X108" s="36">
        <f t="shared" si="136"/>
        <v>98400</v>
      </c>
      <c r="Y108" s="36"/>
      <c r="Z108" s="36">
        <v>65600</v>
      </c>
      <c r="AA108" s="36"/>
      <c r="AB108" s="36"/>
      <c r="AC108" s="36"/>
      <c r="AD108" s="36">
        <f t="shared" si="126"/>
        <v>164000</v>
      </c>
      <c r="AE108" s="36"/>
      <c r="AF108" s="36"/>
      <c r="AG108" s="36"/>
      <c r="AH108" s="36"/>
      <c r="AI108" s="36"/>
      <c r="AJ108" s="36">
        <f t="shared" si="127"/>
        <v>164000</v>
      </c>
      <c r="AK108" s="36"/>
      <c r="AL108" s="36"/>
      <c r="AM108" s="36"/>
      <c r="AN108" s="36"/>
      <c r="AO108" s="36"/>
      <c r="AP108" s="36">
        <f t="shared" si="128"/>
        <v>164000</v>
      </c>
      <c r="AQ108" s="36"/>
      <c r="AR108" s="36"/>
      <c r="AS108" s="36"/>
      <c r="AT108" s="36"/>
      <c r="AU108" s="36"/>
      <c r="AV108" s="36">
        <f t="shared" si="129"/>
        <v>164000</v>
      </c>
      <c r="AW108" s="36"/>
      <c r="AX108" s="36">
        <v>0</v>
      </c>
      <c r="AY108" s="36"/>
      <c r="AZ108" s="36"/>
      <c r="BA108" s="36"/>
      <c r="BB108" s="36">
        <f t="shared" si="130"/>
        <v>164000</v>
      </c>
      <c r="BC108" s="36"/>
      <c r="BD108" s="36"/>
      <c r="BE108" s="36"/>
      <c r="BF108" s="36"/>
      <c r="BG108" s="36"/>
      <c r="BH108" s="36">
        <f t="shared" si="131"/>
        <v>164000</v>
      </c>
      <c r="BI108" s="36"/>
      <c r="BJ108" s="36"/>
      <c r="BK108" s="36"/>
      <c r="BL108" s="36"/>
      <c r="BM108" s="36"/>
      <c r="BN108" s="36">
        <f t="shared" si="132"/>
        <v>164000</v>
      </c>
      <c r="BO108" s="36"/>
      <c r="BP108" s="36"/>
      <c r="BQ108" s="36"/>
      <c r="BR108" s="36"/>
      <c r="BS108" s="36"/>
      <c r="BT108" s="36">
        <f t="shared" si="133"/>
        <v>164000</v>
      </c>
      <c r="BU108" s="36"/>
      <c r="BV108" s="36"/>
      <c r="BW108" s="36"/>
      <c r="BX108" s="36"/>
      <c r="BY108" s="36"/>
      <c r="BZ108" s="36">
        <f t="shared" si="134"/>
        <v>164000</v>
      </c>
      <c r="CA108" s="36"/>
      <c r="CB108" s="36"/>
      <c r="CC108" s="36"/>
      <c r="CD108" s="36">
        <f t="shared" si="135"/>
        <v>164000</v>
      </c>
    </row>
    <row r="109" spans="1:84">
      <c r="A109" s="66"/>
      <c r="B109" s="67"/>
      <c r="C109" s="35" t="s">
        <v>257</v>
      </c>
      <c r="D109" s="67"/>
      <c r="E109" s="51"/>
      <c r="F109" s="51"/>
      <c r="G109" s="51"/>
      <c r="H109" s="51"/>
      <c r="I109" s="51"/>
      <c r="J109" s="51"/>
      <c r="K109" s="51"/>
      <c r="L109" s="36">
        <f>SUM(F109-G109+H109-I109+J109)</f>
        <v>0</v>
      </c>
      <c r="M109" s="51"/>
      <c r="N109" s="51">
        <v>4920</v>
      </c>
      <c r="O109" s="51"/>
      <c r="P109" s="51"/>
      <c r="Q109" s="51"/>
      <c r="R109" s="36">
        <f t="shared" si="125"/>
        <v>4920</v>
      </c>
      <c r="S109" s="51"/>
      <c r="T109" s="51"/>
      <c r="U109" s="51"/>
      <c r="V109" s="51"/>
      <c r="W109" s="51"/>
      <c r="X109" s="36">
        <f t="shared" si="136"/>
        <v>4920</v>
      </c>
      <c r="Y109" s="51"/>
      <c r="Z109" s="51">
        <v>3280</v>
      </c>
      <c r="AA109" s="51"/>
      <c r="AB109" s="51"/>
      <c r="AC109" s="51"/>
      <c r="AD109" s="36">
        <f t="shared" si="126"/>
        <v>8200</v>
      </c>
      <c r="AE109" s="51"/>
      <c r="AF109" s="51"/>
      <c r="AG109" s="51"/>
      <c r="AH109" s="51"/>
      <c r="AI109" s="51"/>
      <c r="AJ109" s="36">
        <f t="shared" si="127"/>
        <v>8200</v>
      </c>
      <c r="AK109" s="51"/>
      <c r="AL109" s="51"/>
      <c r="AM109" s="51"/>
      <c r="AN109" s="51"/>
      <c r="AO109" s="51"/>
      <c r="AP109" s="36">
        <f t="shared" si="128"/>
        <v>8200</v>
      </c>
      <c r="AQ109" s="51"/>
      <c r="AR109" s="51"/>
      <c r="AS109" s="51"/>
      <c r="AT109" s="51"/>
      <c r="AU109" s="51"/>
      <c r="AV109" s="36">
        <f t="shared" si="129"/>
        <v>8200</v>
      </c>
      <c r="AW109" s="51"/>
      <c r="AX109" s="51">
        <v>0</v>
      </c>
      <c r="AY109" s="51"/>
      <c r="AZ109" s="51"/>
      <c r="BA109" s="51"/>
      <c r="BB109" s="36">
        <f t="shared" si="130"/>
        <v>8200</v>
      </c>
      <c r="BC109" s="51"/>
      <c r="BD109" s="51"/>
      <c r="BE109" s="51"/>
      <c r="BF109" s="51"/>
      <c r="BG109" s="51"/>
      <c r="BH109" s="36">
        <f t="shared" si="131"/>
        <v>8200</v>
      </c>
      <c r="BI109" s="51"/>
      <c r="BJ109" s="51"/>
      <c r="BK109" s="51"/>
      <c r="BL109" s="51"/>
      <c r="BM109" s="51"/>
      <c r="BN109" s="36">
        <f t="shared" si="132"/>
        <v>8200</v>
      </c>
      <c r="BO109" s="51"/>
      <c r="BP109" s="51"/>
      <c r="BQ109" s="51"/>
      <c r="BR109" s="51"/>
      <c r="BS109" s="51"/>
      <c r="BT109" s="36">
        <f t="shared" si="133"/>
        <v>8200</v>
      </c>
      <c r="BU109" s="51"/>
      <c r="BV109" s="51"/>
      <c r="BW109" s="51"/>
      <c r="BX109" s="51"/>
      <c r="BY109" s="51"/>
      <c r="BZ109" s="36">
        <f t="shared" si="134"/>
        <v>8200</v>
      </c>
      <c r="CA109" s="51"/>
      <c r="CB109" s="51"/>
      <c r="CC109" s="51"/>
      <c r="CD109" s="36">
        <f t="shared" si="135"/>
        <v>8200</v>
      </c>
    </row>
    <row r="110" spans="1:84">
      <c r="A110" s="66"/>
      <c r="B110" s="67"/>
      <c r="C110" s="67" t="s">
        <v>258</v>
      </c>
      <c r="D110" s="67"/>
      <c r="E110" s="51"/>
      <c r="F110" s="51"/>
      <c r="G110" s="51"/>
      <c r="H110" s="51"/>
      <c r="I110" s="51"/>
      <c r="J110" s="51"/>
      <c r="K110" s="51"/>
      <c r="L110" s="36">
        <f t="shared" ref="L110:L114" si="137">SUM(F110-G110+H110-I110+J110)</f>
        <v>0</v>
      </c>
      <c r="M110" s="51"/>
      <c r="N110" s="51"/>
      <c r="O110" s="51"/>
      <c r="P110" s="51"/>
      <c r="Q110" s="51"/>
      <c r="R110" s="36">
        <f t="shared" si="125"/>
        <v>0</v>
      </c>
      <c r="S110" s="51"/>
      <c r="T110" s="51"/>
      <c r="U110" s="51"/>
      <c r="V110" s="51"/>
      <c r="W110" s="51"/>
      <c r="X110" s="36">
        <f t="shared" si="136"/>
        <v>0</v>
      </c>
      <c r="Y110" s="51"/>
      <c r="Z110" s="51"/>
      <c r="AA110" s="51"/>
      <c r="AB110" s="51"/>
      <c r="AC110" s="51"/>
      <c r="AD110" s="36">
        <f t="shared" si="126"/>
        <v>0</v>
      </c>
      <c r="AE110" s="51"/>
      <c r="AF110" s="174"/>
      <c r="AG110" s="51"/>
      <c r="AH110" s="51"/>
      <c r="AI110" s="51"/>
      <c r="AJ110" s="36">
        <f t="shared" si="127"/>
        <v>0</v>
      </c>
      <c r="AK110" s="51"/>
      <c r="AL110" s="51"/>
      <c r="AM110" s="51"/>
      <c r="AN110" s="51"/>
      <c r="AO110" s="51"/>
      <c r="AP110" s="36">
        <f t="shared" si="128"/>
        <v>0</v>
      </c>
      <c r="AQ110" s="51"/>
      <c r="AR110" s="51"/>
      <c r="AS110" s="51"/>
      <c r="AT110" s="51"/>
      <c r="AU110" s="51"/>
      <c r="AV110" s="36">
        <f t="shared" si="129"/>
        <v>0</v>
      </c>
      <c r="AW110" s="51"/>
      <c r="AX110" s="51">
        <v>0</v>
      </c>
      <c r="AY110" s="51"/>
      <c r="AZ110" s="51"/>
      <c r="BA110" s="51"/>
      <c r="BB110" s="36">
        <f t="shared" si="130"/>
        <v>0</v>
      </c>
      <c r="BC110" s="51"/>
      <c r="BD110" s="51"/>
      <c r="BE110" s="51"/>
      <c r="BF110" s="51"/>
      <c r="BG110" s="51"/>
      <c r="BH110" s="51">
        <f t="shared" si="131"/>
        <v>0</v>
      </c>
      <c r="BI110" s="51"/>
      <c r="BJ110" s="51"/>
      <c r="BK110" s="51"/>
      <c r="BL110" s="51"/>
      <c r="BM110" s="51"/>
      <c r="BN110" s="51">
        <f t="shared" si="132"/>
        <v>0</v>
      </c>
      <c r="BO110" s="51"/>
      <c r="BP110" s="51"/>
      <c r="BQ110" s="51"/>
      <c r="BR110" s="51"/>
      <c r="BS110" s="51"/>
      <c r="BT110" s="51">
        <f>SUM(BN110-BO110+BP110-BQ110+BR110)</f>
        <v>0</v>
      </c>
      <c r="BU110" s="51"/>
      <c r="BV110" s="51"/>
      <c r="BW110" s="51"/>
      <c r="BX110" s="51"/>
      <c r="BY110" s="51"/>
      <c r="BZ110" s="51">
        <f t="shared" si="134"/>
        <v>0</v>
      </c>
      <c r="CA110" s="51"/>
      <c r="CB110" s="51"/>
      <c r="CC110" s="51"/>
      <c r="CD110" s="51">
        <f t="shared" si="135"/>
        <v>0</v>
      </c>
    </row>
    <row r="111" spans="1:84">
      <c r="A111" s="66"/>
      <c r="B111" s="67"/>
      <c r="C111" s="67" t="s">
        <v>299</v>
      </c>
      <c r="D111" s="67"/>
      <c r="E111" s="51"/>
      <c r="F111" s="51"/>
      <c r="G111" s="51"/>
      <c r="H111" s="51"/>
      <c r="I111" s="51"/>
      <c r="J111" s="51"/>
      <c r="K111" s="51"/>
      <c r="L111" s="36">
        <f t="shared" si="137"/>
        <v>0</v>
      </c>
      <c r="M111" s="51"/>
      <c r="N111" s="51">
        <v>122500</v>
      </c>
      <c r="O111" s="51"/>
      <c r="P111" s="51"/>
      <c r="Q111" s="51"/>
      <c r="R111" s="36">
        <f t="shared" si="125"/>
        <v>122500</v>
      </c>
      <c r="S111" s="51"/>
      <c r="T111" s="51"/>
      <c r="U111" s="51"/>
      <c r="V111" s="51"/>
      <c r="W111" s="51"/>
      <c r="X111" s="36">
        <f t="shared" si="136"/>
        <v>122500</v>
      </c>
      <c r="Y111" s="51"/>
      <c r="Z111" s="51"/>
      <c r="AA111" s="51"/>
      <c r="AB111" s="51"/>
      <c r="AC111" s="51"/>
      <c r="AD111" s="36">
        <f t="shared" si="126"/>
        <v>122500</v>
      </c>
      <c r="AE111" s="51"/>
      <c r="AF111" s="174"/>
      <c r="AG111" s="51"/>
      <c r="AH111" s="51"/>
      <c r="AI111" s="51"/>
      <c r="AJ111" s="36">
        <f t="shared" si="127"/>
        <v>122500</v>
      </c>
      <c r="AK111" s="51"/>
      <c r="AL111" s="51"/>
      <c r="AM111" s="51"/>
      <c r="AN111" s="51"/>
      <c r="AO111" s="51"/>
      <c r="AP111" s="36">
        <f t="shared" si="128"/>
        <v>122500</v>
      </c>
      <c r="AQ111" s="51"/>
      <c r="AR111" s="51"/>
      <c r="AS111" s="51"/>
      <c r="AT111" s="51"/>
      <c r="AU111" s="51"/>
      <c r="AV111" s="36">
        <f t="shared" si="129"/>
        <v>122500</v>
      </c>
      <c r="AW111" s="51"/>
      <c r="AX111" s="51">
        <v>0</v>
      </c>
      <c r="AY111" s="51"/>
      <c r="AZ111" s="51"/>
      <c r="BA111" s="51"/>
      <c r="BB111" s="36">
        <f t="shared" si="130"/>
        <v>122500</v>
      </c>
      <c r="BC111" s="51"/>
      <c r="BD111" s="51"/>
      <c r="BE111" s="51"/>
      <c r="BF111" s="51"/>
      <c r="BG111" s="51"/>
      <c r="BH111" s="51">
        <f t="shared" si="131"/>
        <v>122500</v>
      </c>
      <c r="BI111" s="51"/>
      <c r="BJ111" s="51"/>
      <c r="BK111" s="51"/>
      <c r="BL111" s="51"/>
      <c r="BM111" s="51"/>
      <c r="BN111" s="51">
        <f t="shared" si="132"/>
        <v>122500</v>
      </c>
      <c r="BO111" s="51"/>
      <c r="BP111" s="51"/>
      <c r="BQ111" s="51"/>
      <c r="BR111" s="51"/>
      <c r="BS111" s="51"/>
      <c r="BT111" s="51">
        <f>SUM(BN111-BO111+BP111-BQ111+BR111)</f>
        <v>122500</v>
      </c>
      <c r="BU111" s="51"/>
      <c r="BV111" s="51"/>
      <c r="BW111" s="51"/>
      <c r="BX111" s="51"/>
      <c r="BY111" s="51"/>
      <c r="BZ111" s="51">
        <f t="shared" si="134"/>
        <v>122500</v>
      </c>
      <c r="CA111" s="51"/>
      <c r="CB111" s="51"/>
      <c r="CC111" s="51"/>
      <c r="CD111" s="51">
        <f t="shared" si="135"/>
        <v>122500</v>
      </c>
    </row>
    <row r="112" spans="1:84">
      <c r="A112" s="66"/>
      <c r="B112" s="67"/>
      <c r="C112" s="67" t="s">
        <v>455</v>
      </c>
      <c r="D112" s="67"/>
      <c r="E112" s="51"/>
      <c r="F112" s="51"/>
      <c r="G112" s="51"/>
      <c r="H112" s="51"/>
      <c r="I112" s="51"/>
      <c r="J112" s="51"/>
      <c r="K112" s="51"/>
      <c r="L112" s="36">
        <f t="shared" si="137"/>
        <v>0</v>
      </c>
      <c r="M112" s="51"/>
      <c r="N112" s="51"/>
      <c r="O112" s="51"/>
      <c r="P112" s="51"/>
      <c r="Q112" s="51"/>
      <c r="R112" s="36">
        <f t="shared" si="125"/>
        <v>0</v>
      </c>
      <c r="S112" s="51"/>
      <c r="T112" s="51"/>
      <c r="U112" s="51"/>
      <c r="V112" s="51"/>
      <c r="W112" s="51"/>
      <c r="X112" s="36">
        <f t="shared" si="136"/>
        <v>0</v>
      </c>
      <c r="Y112" s="51"/>
      <c r="Z112" s="51">
        <v>65000</v>
      </c>
      <c r="AA112" s="51"/>
      <c r="AB112" s="51"/>
      <c r="AC112" s="51"/>
      <c r="AD112" s="36">
        <f t="shared" si="126"/>
        <v>65000</v>
      </c>
      <c r="AE112" s="51"/>
      <c r="AF112" s="174"/>
      <c r="AG112" s="51"/>
      <c r="AH112" s="51"/>
      <c r="AI112" s="51"/>
      <c r="AJ112" s="36">
        <f t="shared" si="127"/>
        <v>65000</v>
      </c>
      <c r="AK112" s="51"/>
      <c r="AL112" s="51"/>
      <c r="AM112" s="51"/>
      <c r="AN112" s="51"/>
      <c r="AO112" s="51"/>
      <c r="AP112" s="36">
        <f t="shared" si="128"/>
        <v>65000</v>
      </c>
      <c r="AQ112" s="51"/>
      <c r="AR112" s="51"/>
      <c r="AS112" s="51"/>
      <c r="AT112" s="51"/>
      <c r="AU112" s="51"/>
      <c r="AV112" s="36">
        <f t="shared" si="129"/>
        <v>65000</v>
      </c>
      <c r="AW112" s="51"/>
      <c r="AX112" s="51">
        <v>0</v>
      </c>
      <c r="AY112" s="51"/>
      <c r="AZ112" s="51"/>
      <c r="BA112" s="51"/>
      <c r="BB112" s="36">
        <f t="shared" si="130"/>
        <v>65000</v>
      </c>
      <c r="BC112" s="51"/>
      <c r="BD112" s="51"/>
      <c r="BE112" s="51"/>
      <c r="BF112" s="51"/>
      <c r="BG112" s="51"/>
      <c r="BH112" s="51">
        <f t="shared" si="131"/>
        <v>65000</v>
      </c>
      <c r="BI112" s="51"/>
      <c r="BJ112" s="51"/>
      <c r="BK112" s="51"/>
      <c r="BL112" s="51"/>
      <c r="BM112" s="51"/>
      <c r="BN112" s="51">
        <f>SUM(BH112-BI112+BJ112-BK112+BL112)</f>
        <v>65000</v>
      </c>
      <c r="BO112" s="51"/>
      <c r="BP112" s="51"/>
      <c r="BQ112" s="51"/>
      <c r="BR112" s="51"/>
      <c r="BS112" s="51"/>
      <c r="BT112" s="51">
        <f>SUM(BN112-BO112+BP112-BQ112+BR112)</f>
        <v>65000</v>
      </c>
      <c r="BU112" s="51"/>
      <c r="BV112" s="51"/>
      <c r="BW112" s="51"/>
      <c r="BX112" s="51"/>
      <c r="BY112" s="51"/>
      <c r="BZ112" s="51">
        <f t="shared" si="134"/>
        <v>65000</v>
      </c>
      <c r="CA112" s="51"/>
      <c r="CB112" s="51"/>
      <c r="CC112" s="51"/>
      <c r="CD112" s="51">
        <f t="shared" si="135"/>
        <v>65000</v>
      </c>
    </row>
    <row r="113" spans="1:84">
      <c r="A113" s="66"/>
      <c r="B113" s="67"/>
      <c r="C113" s="67" t="s">
        <v>414</v>
      </c>
      <c r="D113" s="67"/>
      <c r="E113" s="51"/>
      <c r="F113" s="51"/>
      <c r="G113" s="51"/>
      <c r="H113" s="51"/>
      <c r="I113" s="51"/>
      <c r="J113" s="51"/>
      <c r="K113" s="51"/>
      <c r="L113" s="36">
        <f t="shared" si="137"/>
        <v>0</v>
      </c>
      <c r="M113" s="51"/>
      <c r="N113" s="51">
        <v>50000</v>
      </c>
      <c r="O113" s="51"/>
      <c r="P113" s="51"/>
      <c r="Q113" s="51"/>
      <c r="R113" s="36">
        <f t="shared" si="125"/>
        <v>50000</v>
      </c>
      <c r="S113" s="51"/>
      <c r="T113" s="51"/>
      <c r="U113" s="51"/>
      <c r="V113" s="51"/>
      <c r="W113" s="51"/>
      <c r="X113" s="51">
        <f t="shared" si="136"/>
        <v>50000</v>
      </c>
      <c r="Y113" s="51"/>
      <c r="Z113" s="51"/>
      <c r="AA113" s="51"/>
      <c r="AB113" s="51"/>
      <c r="AC113" s="51"/>
      <c r="AD113" s="36">
        <f t="shared" si="126"/>
        <v>50000</v>
      </c>
      <c r="AE113" s="51"/>
      <c r="AF113" s="51"/>
      <c r="AG113" s="51"/>
      <c r="AH113" s="51"/>
      <c r="AI113" s="51"/>
      <c r="AJ113" s="51">
        <f t="shared" si="127"/>
        <v>50000</v>
      </c>
      <c r="AK113" s="51"/>
      <c r="AL113" s="51"/>
      <c r="AM113" s="51"/>
      <c r="AN113" s="51"/>
      <c r="AO113" s="51"/>
      <c r="AP113" s="51">
        <f t="shared" si="128"/>
        <v>50000</v>
      </c>
      <c r="AQ113" s="51"/>
      <c r="AR113" s="51"/>
      <c r="AS113" s="51"/>
      <c r="AT113" s="51"/>
      <c r="AU113" s="51"/>
      <c r="AV113" s="51">
        <f t="shared" si="129"/>
        <v>50000</v>
      </c>
      <c r="AW113" s="51"/>
      <c r="AX113" s="51">
        <v>0</v>
      </c>
      <c r="AY113" s="51"/>
      <c r="AZ113" s="51"/>
      <c r="BA113" s="51"/>
      <c r="BB113" s="51">
        <f t="shared" si="130"/>
        <v>50000</v>
      </c>
      <c r="BC113" s="51"/>
      <c r="BD113" s="51"/>
      <c r="BE113" s="51"/>
      <c r="BF113" s="51"/>
      <c r="BG113" s="51"/>
      <c r="BH113" s="51">
        <f t="shared" si="131"/>
        <v>50000</v>
      </c>
      <c r="BI113" s="51"/>
      <c r="BJ113" s="51"/>
      <c r="BK113" s="51"/>
      <c r="BL113" s="51"/>
      <c r="BM113" s="51"/>
      <c r="BN113" s="51">
        <f>SUM(BH113-BI113+BJ113-BK113+BL113)</f>
        <v>50000</v>
      </c>
      <c r="BO113" s="51"/>
      <c r="BP113" s="51"/>
      <c r="BQ113" s="51"/>
      <c r="BR113" s="51"/>
      <c r="BS113" s="51"/>
      <c r="BT113" s="51">
        <f>SUM(BN113-BO113+BP113-BQ113+BR113)</f>
        <v>50000</v>
      </c>
      <c r="BU113" s="51"/>
      <c r="BV113" s="51"/>
      <c r="BW113" s="51"/>
      <c r="BX113" s="51"/>
      <c r="BY113" s="51"/>
      <c r="BZ113" s="51">
        <f t="shared" si="134"/>
        <v>50000</v>
      </c>
      <c r="CA113" s="51"/>
      <c r="CB113" s="51"/>
      <c r="CC113" s="51"/>
      <c r="CD113" s="51">
        <f t="shared" si="135"/>
        <v>50000</v>
      </c>
    </row>
    <row r="114" spans="1:84" s="67" customFormat="1">
      <c r="A114" s="66"/>
      <c r="E114" s="51"/>
      <c r="F114" s="51"/>
      <c r="G114" s="51"/>
      <c r="H114" s="51"/>
      <c r="I114" s="51"/>
      <c r="J114" s="51"/>
      <c r="K114" s="51"/>
      <c r="L114" s="51">
        <f t="shared" si="137"/>
        <v>0</v>
      </c>
      <c r="M114" s="51"/>
      <c r="N114" s="51"/>
      <c r="O114" s="51"/>
      <c r="P114" s="51"/>
      <c r="Q114" s="51"/>
      <c r="R114" s="51">
        <f t="shared" si="125"/>
        <v>0</v>
      </c>
      <c r="S114" s="51"/>
      <c r="T114" s="51"/>
      <c r="U114" s="51"/>
      <c r="V114" s="51"/>
      <c r="W114" s="51"/>
      <c r="X114" s="51">
        <f t="shared" si="136"/>
        <v>0</v>
      </c>
      <c r="Y114" s="51"/>
      <c r="Z114" s="51"/>
      <c r="AA114" s="51"/>
      <c r="AB114" s="51"/>
      <c r="AC114" s="51"/>
      <c r="AD114" s="51"/>
      <c r="AE114" s="51"/>
      <c r="AF114" s="174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>
        <f t="shared" si="134"/>
        <v>0</v>
      </c>
      <c r="CA114" s="51"/>
      <c r="CB114" s="51"/>
      <c r="CC114" s="51"/>
      <c r="CD114" s="51">
        <f t="shared" si="135"/>
        <v>0</v>
      </c>
      <c r="CE114" s="122"/>
      <c r="CF114" s="122"/>
    </row>
    <row r="115" spans="1:84" s="35" customFormat="1">
      <c r="A115" s="34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171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233"/>
      <c r="CF115" s="233"/>
    </row>
    <row r="116" spans="1:84" s="67" customFormat="1">
      <c r="A116" s="37"/>
      <c r="B116" s="38"/>
      <c r="C116" s="38"/>
      <c r="D116" s="38"/>
      <c r="E116" s="39"/>
      <c r="F116" s="39"/>
      <c r="G116" s="39"/>
      <c r="H116" s="39"/>
      <c r="I116" s="39"/>
      <c r="J116" s="39"/>
      <c r="K116" s="39"/>
      <c r="L116" s="51"/>
      <c r="M116" s="39"/>
      <c r="N116" s="39"/>
      <c r="O116" s="39"/>
      <c r="P116" s="39"/>
      <c r="Q116" s="39"/>
      <c r="R116" s="51"/>
      <c r="S116" s="39"/>
      <c r="T116" s="39"/>
      <c r="U116" s="39"/>
      <c r="V116" s="39"/>
      <c r="W116" s="39"/>
      <c r="X116" s="51"/>
      <c r="Y116" s="39"/>
      <c r="Z116" s="39"/>
      <c r="AA116" s="39"/>
      <c r="AB116" s="39"/>
      <c r="AC116" s="39"/>
      <c r="AD116" s="51"/>
      <c r="AE116" s="39"/>
      <c r="AF116" s="172"/>
      <c r="AG116" s="39"/>
      <c r="AH116" s="39"/>
      <c r="AI116" s="39"/>
      <c r="AJ116" s="51"/>
      <c r="AK116" s="39"/>
      <c r="AL116" s="39"/>
      <c r="AM116" s="39"/>
      <c r="AN116" s="39"/>
      <c r="AO116" s="39"/>
      <c r="AP116" s="51"/>
      <c r="AQ116" s="39"/>
      <c r="AR116" s="39"/>
      <c r="AS116" s="39"/>
      <c r="AT116" s="39"/>
      <c r="AU116" s="39"/>
      <c r="AV116" s="51"/>
      <c r="AW116" s="39"/>
      <c r="AX116" s="39"/>
      <c r="AY116" s="39"/>
      <c r="AZ116" s="39"/>
      <c r="BA116" s="39"/>
      <c r="BB116" s="51"/>
      <c r="BC116" s="39"/>
      <c r="BD116" s="39"/>
      <c r="BE116" s="39"/>
      <c r="BF116" s="39"/>
      <c r="BG116" s="39"/>
      <c r="BH116" s="51"/>
      <c r="BI116" s="39"/>
      <c r="BJ116" s="39"/>
      <c r="BK116" s="39"/>
      <c r="BL116" s="39"/>
      <c r="BM116" s="39"/>
      <c r="BN116" s="51"/>
      <c r="BO116" s="39"/>
      <c r="BP116" s="39"/>
      <c r="BQ116" s="39"/>
      <c r="BR116" s="39"/>
      <c r="BS116" s="39"/>
      <c r="BT116" s="51"/>
      <c r="BU116" s="39"/>
      <c r="BV116" s="39"/>
      <c r="BW116" s="39"/>
      <c r="BX116" s="39"/>
      <c r="BY116" s="39"/>
      <c r="BZ116" s="51"/>
      <c r="CA116" s="39"/>
      <c r="CB116" s="39"/>
      <c r="CC116" s="39"/>
      <c r="CD116" s="51"/>
      <c r="CE116" s="122"/>
      <c r="CF116" s="122"/>
    </row>
    <row r="117" spans="1:84" s="147" customFormat="1">
      <c r="A117" s="394" t="s">
        <v>31</v>
      </c>
      <c r="B117" s="395"/>
      <c r="C117" s="395"/>
      <c r="D117" s="395"/>
      <c r="E117" s="142">
        <f t="shared" ref="E117:AJ117" si="138">SUM(E54,E85,E96)</f>
        <v>0</v>
      </c>
      <c r="F117" s="142">
        <f t="shared" si="138"/>
        <v>0</v>
      </c>
      <c r="G117" s="142">
        <f t="shared" si="138"/>
        <v>0</v>
      </c>
      <c r="H117" s="142">
        <f t="shared" si="138"/>
        <v>1336186.69</v>
      </c>
      <c r="I117" s="142">
        <f t="shared" si="138"/>
        <v>0</v>
      </c>
      <c r="J117" s="142">
        <f t="shared" si="138"/>
        <v>3</v>
      </c>
      <c r="K117" s="142">
        <f t="shared" si="138"/>
        <v>0</v>
      </c>
      <c r="L117" s="142">
        <f t="shared" si="138"/>
        <v>1336189.69</v>
      </c>
      <c r="M117" s="142">
        <f t="shared" si="138"/>
        <v>0</v>
      </c>
      <c r="N117" s="142">
        <f t="shared" si="138"/>
        <v>11026780.470000001</v>
      </c>
      <c r="O117" s="142">
        <f t="shared" si="138"/>
        <v>0</v>
      </c>
      <c r="P117" s="142">
        <f t="shared" si="138"/>
        <v>0</v>
      </c>
      <c r="Q117" s="142">
        <f t="shared" si="138"/>
        <v>0</v>
      </c>
      <c r="R117" s="142">
        <f t="shared" si="138"/>
        <v>12362970.16</v>
      </c>
      <c r="S117" s="142">
        <f t="shared" si="138"/>
        <v>0</v>
      </c>
      <c r="T117" s="142">
        <f t="shared" si="138"/>
        <v>3474326.1</v>
      </c>
      <c r="U117" s="142">
        <f t="shared" si="138"/>
        <v>0</v>
      </c>
      <c r="V117" s="142">
        <f t="shared" si="138"/>
        <v>0</v>
      </c>
      <c r="W117" s="142">
        <f t="shared" si="138"/>
        <v>0</v>
      </c>
      <c r="X117" s="142">
        <f t="shared" si="138"/>
        <v>15837296.26</v>
      </c>
      <c r="Y117" s="142">
        <f t="shared" si="138"/>
        <v>0</v>
      </c>
      <c r="Z117" s="142">
        <f>SUM(Z54,Z85,Z96)</f>
        <v>7224128.3600000003</v>
      </c>
      <c r="AA117" s="142">
        <f t="shared" si="138"/>
        <v>0.02</v>
      </c>
      <c r="AB117" s="142">
        <f t="shared" si="138"/>
        <v>0</v>
      </c>
      <c r="AC117" s="142">
        <f t="shared" si="138"/>
        <v>0</v>
      </c>
      <c r="AD117" s="142">
        <f t="shared" si="138"/>
        <v>23061424.600000001</v>
      </c>
      <c r="AE117" s="142">
        <f t="shared" si="138"/>
        <v>0</v>
      </c>
      <c r="AF117" s="142">
        <f t="shared" si="138"/>
        <v>1828193.1400000001</v>
      </c>
      <c r="AG117" s="142">
        <f t="shared" si="138"/>
        <v>0</v>
      </c>
      <c r="AH117" s="142">
        <f t="shared" si="138"/>
        <v>0</v>
      </c>
      <c r="AI117" s="142">
        <f t="shared" si="138"/>
        <v>0</v>
      </c>
      <c r="AJ117" s="142">
        <f t="shared" si="138"/>
        <v>24889618.25</v>
      </c>
      <c r="AK117" s="142">
        <f t="shared" ref="AK117:BP117" si="139">SUM(AK54,AK85,AK96)</f>
        <v>0</v>
      </c>
      <c r="AL117" s="142">
        <f t="shared" si="139"/>
        <v>0</v>
      </c>
      <c r="AM117" s="143">
        <f t="shared" si="139"/>
        <v>0</v>
      </c>
      <c r="AN117" s="143">
        <f t="shared" si="139"/>
        <v>0</v>
      </c>
      <c r="AO117" s="142">
        <f t="shared" si="139"/>
        <v>0</v>
      </c>
      <c r="AP117" s="142">
        <f t="shared" si="139"/>
        <v>24889618.25</v>
      </c>
      <c r="AQ117" s="142">
        <f t="shared" si="139"/>
        <v>0</v>
      </c>
      <c r="AR117" s="142">
        <f t="shared" si="139"/>
        <v>0</v>
      </c>
      <c r="AS117" s="142">
        <f t="shared" si="139"/>
        <v>0</v>
      </c>
      <c r="AT117" s="142">
        <f t="shared" si="139"/>
        <v>0</v>
      </c>
      <c r="AU117" s="142">
        <f t="shared" si="139"/>
        <v>0</v>
      </c>
      <c r="AV117" s="142">
        <f t="shared" si="139"/>
        <v>24889618.25</v>
      </c>
      <c r="AW117" s="142">
        <f t="shared" si="139"/>
        <v>0</v>
      </c>
      <c r="AX117" s="142">
        <f t="shared" si="139"/>
        <v>0</v>
      </c>
      <c r="AY117" s="142">
        <f t="shared" si="139"/>
        <v>0</v>
      </c>
      <c r="AZ117" s="142">
        <f t="shared" si="139"/>
        <v>0</v>
      </c>
      <c r="BA117" s="142">
        <f t="shared" si="139"/>
        <v>0</v>
      </c>
      <c r="BB117" s="142">
        <f t="shared" si="139"/>
        <v>24889618.25</v>
      </c>
      <c r="BC117" s="142">
        <f t="shared" si="139"/>
        <v>0</v>
      </c>
      <c r="BD117" s="142">
        <f t="shared" si="139"/>
        <v>0</v>
      </c>
      <c r="BE117" s="142">
        <f t="shared" si="139"/>
        <v>0</v>
      </c>
      <c r="BF117" s="142">
        <f t="shared" si="139"/>
        <v>0</v>
      </c>
      <c r="BG117" s="142">
        <f t="shared" si="139"/>
        <v>0</v>
      </c>
      <c r="BH117" s="142">
        <f t="shared" si="139"/>
        <v>24889618.25</v>
      </c>
      <c r="BI117" s="142">
        <f t="shared" si="139"/>
        <v>0</v>
      </c>
      <c r="BJ117" s="142">
        <f t="shared" si="139"/>
        <v>0</v>
      </c>
      <c r="BK117" s="142">
        <f t="shared" si="139"/>
        <v>0</v>
      </c>
      <c r="BL117" s="142">
        <f t="shared" si="139"/>
        <v>0</v>
      </c>
      <c r="BM117" s="142">
        <f t="shared" si="139"/>
        <v>0</v>
      </c>
      <c r="BN117" s="142">
        <f t="shared" si="139"/>
        <v>24889618.25</v>
      </c>
      <c r="BO117" s="142">
        <f t="shared" si="139"/>
        <v>0</v>
      </c>
      <c r="BP117" s="142">
        <f t="shared" si="139"/>
        <v>0</v>
      </c>
      <c r="BQ117" s="142">
        <f t="shared" ref="BQ117:CD117" si="140">SUM(BQ54,BQ85,BQ96)</f>
        <v>0</v>
      </c>
      <c r="BR117" s="142">
        <f t="shared" si="140"/>
        <v>0</v>
      </c>
      <c r="BS117" s="142">
        <f t="shared" si="140"/>
        <v>0</v>
      </c>
      <c r="BT117" s="142">
        <f t="shared" si="140"/>
        <v>24889618.25</v>
      </c>
      <c r="BU117" s="142">
        <f t="shared" si="140"/>
        <v>0</v>
      </c>
      <c r="BV117" s="142">
        <f t="shared" si="140"/>
        <v>0</v>
      </c>
      <c r="BW117" s="142">
        <f t="shared" si="140"/>
        <v>0</v>
      </c>
      <c r="BX117" s="142">
        <f t="shared" si="140"/>
        <v>0</v>
      </c>
      <c r="BY117" s="142">
        <f t="shared" si="140"/>
        <v>0</v>
      </c>
      <c r="BZ117" s="142">
        <f t="shared" si="140"/>
        <v>24889618.25</v>
      </c>
      <c r="CA117" s="143">
        <f t="shared" si="140"/>
        <v>0</v>
      </c>
      <c r="CB117" s="143">
        <f t="shared" si="140"/>
        <v>0</v>
      </c>
      <c r="CC117" s="142">
        <f t="shared" si="140"/>
        <v>0</v>
      </c>
      <c r="CD117" s="142">
        <f t="shared" si="140"/>
        <v>24889618.25</v>
      </c>
      <c r="CE117" s="146"/>
      <c r="CF117" s="146"/>
    </row>
    <row r="118" spans="1:84" ht="21.75">
      <c r="A118" s="400" t="s">
        <v>234</v>
      </c>
      <c r="B118" s="401"/>
      <c r="C118" s="401"/>
      <c r="D118" s="402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68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</row>
    <row r="119" spans="1:84" s="250" customFormat="1">
      <c r="A119" s="247" t="s">
        <v>121</v>
      </c>
      <c r="B119" s="248"/>
      <c r="C119" s="248"/>
      <c r="D119" s="248"/>
      <c r="E119" s="235">
        <f t="shared" ref="E119:AJ119" si="141">SUM(E120,E130:E142)</f>
        <v>0</v>
      </c>
      <c r="F119" s="235">
        <f t="shared" si="141"/>
        <v>0</v>
      </c>
      <c r="G119" s="235">
        <f t="shared" si="141"/>
        <v>1165184.93</v>
      </c>
      <c r="H119" s="235">
        <f t="shared" si="141"/>
        <v>0</v>
      </c>
      <c r="I119" s="235">
        <f t="shared" si="141"/>
        <v>18786</v>
      </c>
      <c r="J119" s="235">
        <f t="shared" si="141"/>
        <v>0</v>
      </c>
      <c r="K119" s="235">
        <f t="shared" si="141"/>
        <v>1183970.93</v>
      </c>
      <c r="L119" s="235">
        <f t="shared" si="141"/>
        <v>0</v>
      </c>
      <c r="M119" s="235">
        <f t="shared" si="141"/>
        <v>2549420.38</v>
      </c>
      <c r="N119" s="235">
        <f t="shared" si="141"/>
        <v>0</v>
      </c>
      <c r="O119" s="235">
        <f t="shared" si="141"/>
        <v>9800</v>
      </c>
      <c r="P119" s="235">
        <f t="shared" si="141"/>
        <v>0</v>
      </c>
      <c r="Q119" s="235">
        <f t="shared" si="141"/>
        <v>3743191.3099999996</v>
      </c>
      <c r="R119" s="235">
        <f t="shared" si="141"/>
        <v>0</v>
      </c>
      <c r="S119" s="235">
        <f t="shared" si="141"/>
        <v>1827792.69</v>
      </c>
      <c r="T119" s="235">
        <f t="shared" si="141"/>
        <v>0</v>
      </c>
      <c r="U119" s="235">
        <f t="shared" si="141"/>
        <v>10200</v>
      </c>
      <c r="V119" s="235">
        <f t="shared" si="141"/>
        <v>0</v>
      </c>
      <c r="W119" s="235">
        <f t="shared" si="141"/>
        <v>5581184</v>
      </c>
      <c r="X119" s="235">
        <f t="shared" si="141"/>
        <v>0</v>
      </c>
      <c r="Y119" s="235">
        <f t="shared" si="141"/>
        <v>2544490.2999999998</v>
      </c>
      <c r="Z119" s="235">
        <f t="shared" si="141"/>
        <v>0</v>
      </c>
      <c r="AA119" s="235">
        <f t="shared" si="141"/>
        <v>0</v>
      </c>
      <c r="AB119" s="235">
        <f t="shared" si="141"/>
        <v>0</v>
      </c>
      <c r="AC119" s="235">
        <f t="shared" si="141"/>
        <v>8125674.2999999989</v>
      </c>
      <c r="AD119" s="235">
        <f t="shared" si="141"/>
        <v>0</v>
      </c>
      <c r="AE119" s="235">
        <f t="shared" si="141"/>
        <v>2089607.79</v>
      </c>
      <c r="AF119" s="235">
        <f t="shared" si="141"/>
        <v>0</v>
      </c>
      <c r="AG119" s="235">
        <f t="shared" si="141"/>
        <v>13500</v>
      </c>
      <c r="AH119" s="235">
        <f t="shared" si="141"/>
        <v>0</v>
      </c>
      <c r="AI119" s="235">
        <f t="shared" si="141"/>
        <v>10228782.09</v>
      </c>
      <c r="AJ119" s="235">
        <f t="shared" si="141"/>
        <v>0</v>
      </c>
      <c r="AK119" s="235">
        <f t="shared" ref="AK119:BP119" si="142">SUM(AK120,AK130:AK142)</f>
        <v>0</v>
      </c>
      <c r="AL119" s="235">
        <f t="shared" si="142"/>
        <v>0</v>
      </c>
      <c r="AM119" s="229">
        <f t="shared" si="142"/>
        <v>0</v>
      </c>
      <c r="AN119" s="229">
        <f t="shared" si="142"/>
        <v>0</v>
      </c>
      <c r="AO119" s="235">
        <f t="shared" si="142"/>
        <v>10228782.09</v>
      </c>
      <c r="AP119" s="235">
        <f t="shared" si="142"/>
        <v>0</v>
      </c>
      <c r="AQ119" s="235">
        <f t="shared" si="142"/>
        <v>0</v>
      </c>
      <c r="AR119" s="235">
        <f t="shared" si="142"/>
        <v>0</v>
      </c>
      <c r="AS119" s="235">
        <f t="shared" si="142"/>
        <v>0</v>
      </c>
      <c r="AT119" s="235">
        <f t="shared" si="142"/>
        <v>0</v>
      </c>
      <c r="AU119" s="235">
        <f t="shared" si="142"/>
        <v>10228782.09</v>
      </c>
      <c r="AV119" s="235">
        <f t="shared" si="142"/>
        <v>0</v>
      </c>
      <c r="AW119" s="235">
        <f t="shared" si="142"/>
        <v>0</v>
      </c>
      <c r="AX119" s="235">
        <f t="shared" si="142"/>
        <v>0</v>
      </c>
      <c r="AY119" s="235">
        <f t="shared" si="142"/>
        <v>0</v>
      </c>
      <c r="AZ119" s="235">
        <f t="shared" si="142"/>
        <v>0</v>
      </c>
      <c r="BA119" s="235">
        <f t="shared" si="142"/>
        <v>10228782.09</v>
      </c>
      <c r="BB119" s="235">
        <f t="shared" si="142"/>
        <v>0</v>
      </c>
      <c r="BC119" s="235">
        <f t="shared" si="142"/>
        <v>0</v>
      </c>
      <c r="BD119" s="235">
        <f t="shared" si="142"/>
        <v>0</v>
      </c>
      <c r="BE119" s="235">
        <f t="shared" si="142"/>
        <v>0</v>
      </c>
      <c r="BF119" s="235">
        <f t="shared" si="142"/>
        <v>0</v>
      </c>
      <c r="BG119" s="235">
        <f t="shared" si="142"/>
        <v>10228782.09</v>
      </c>
      <c r="BH119" s="235">
        <f t="shared" si="142"/>
        <v>0</v>
      </c>
      <c r="BI119" s="235">
        <f t="shared" si="142"/>
        <v>0</v>
      </c>
      <c r="BJ119" s="235">
        <f t="shared" si="142"/>
        <v>0</v>
      </c>
      <c r="BK119" s="235">
        <f t="shared" si="142"/>
        <v>0</v>
      </c>
      <c r="BL119" s="235">
        <f t="shared" si="142"/>
        <v>0</v>
      </c>
      <c r="BM119" s="235">
        <f t="shared" si="142"/>
        <v>10228782.09</v>
      </c>
      <c r="BN119" s="235">
        <f t="shared" si="142"/>
        <v>0</v>
      </c>
      <c r="BO119" s="235">
        <f t="shared" si="142"/>
        <v>0</v>
      </c>
      <c r="BP119" s="235">
        <f t="shared" si="142"/>
        <v>0</v>
      </c>
      <c r="BQ119" s="235">
        <f t="shared" ref="BQ119:CD119" si="143">SUM(BQ120,BQ130:BQ142)</f>
        <v>0</v>
      </c>
      <c r="BR119" s="235">
        <f t="shared" si="143"/>
        <v>0</v>
      </c>
      <c r="BS119" s="235">
        <f t="shared" si="143"/>
        <v>10228782.09</v>
      </c>
      <c r="BT119" s="235">
        <f t="shared" si="143"/>
        <v>0</v>
      </c>
      <c r="BU119" s="235">
        <f t="shared" si="143"/>
        <v>0</v>
      </c>
      <c r="BV119" s="235">
        <f t="shared" si="143"/>
        <v>0</v>
      </c>
      <c r="BW119" s="235">
        <f t="shared" si="143"/>
        <v>0</v>
      </c>
      <c r="BX119" s="235">
        <f t="shared" si="143"/>
        <v>0</v>
      </c>
      <c r="BY119" s="235">
        <f t="shared" si="143"/>
        <v>10228782.09</v>
      </c>
      <c r="BZ119" s="235">
        <f t="shared" si="143"/>
        <v>0</v>
      </c>
      <c r="CA119" s="229">
        <f t="shared" si="143"/>
        <v>0</v>
      </c>
      <c r="CB119" s="229">
        <f t="shared" si="143"/>
        <v>0</v>
      </c>
      <c r="CC119" s="235">
        <f t="shared" si="143"/>
        <v>10228782.09</v>
      </c>
      <c r="CD119" s="235">
        <f t="shared" si="143"/>
        <v>0</v>
      </c>
      <c r="CE119" s="249"/>
      <c r="CF119" s="249"/>
    </row>
    <row r="120" spans="1:84" s="145" customFormat="1">
      <c r="A120" s="140" t="s">
        <v>11</v>
      </c>
      <c r="B120" s="141"/>
      <c r="C120" s="141"/>
      <c r="D120" s="141"/>
      <c r="E120" s="142">
        <f>SUM(E121:E129)</f>
        <v>0</v>
      </c>
      <c r="F120" s="142">
        <f t="shared" ref="F120:BQ120" si="144">SUM(F121:F129)</f>
        <v>0</v>
      </c>
      <c r="G120" s="142">
        <f>SUM(G121:G129)</f>
        <v>21850</v>
      </c>
      <c r="H120" s="142">
        <f>SUM(H121:H129)</f>
        <v>0</v>
      </c>
      <c r="I120" s="142">
        <f>SUM(I121:I129)</f>
        <v>0</v>
      </c>
      <c r="J120" s="142">
        <f>SUM(J121:J129)</f>
        <v>0</v>
      </c>
      <c r="K120" s="142">
        <f>SUM(K121:K129)</f>
        <v>21850</v>
      </c>
      <c r="L120" s="142">
        <f t="shared" si="144"/>
        <v>0</v>
      </c>
      <c r="M120" s="142">
        <f>SUM(M121:M129)</f>
        <v>21083</v>
      </c>
      <c r="N120" s="142">
        <f t="shared" si="144"/>
        <v>0</v>
      </c>
      <c r="O120" s="142">
        <f t="shared" si="144"/>
        <v>0</v>
      </c>
      <c r="P120" s="142">
        <f t="shared" si="144"/>
        <v>0</v>
      </c>
      <c r="Q120" s="142">
        <f>SUM(Q121:Q129)</f>
        <v>42933</v>
      </c>
      <c r="R120" s="142">
        <f t="shared" si="144"/>
        <v>0</v>
      </c>
      <c r="S120" s="142">
        <f>SUM(S121:S129)</f>
        <v>387165</v>
      </c>
      <c r="T120" s="142">
        <f t="shared" si="144"/>
        <v>0</v>
      </c>
      <c r="U120" s="142">
        <f t="shared" si="144"/>
        <v>0</v>
      </c>
      <c r="V120" s="142">
        <f t="shared" si="144"/>
        <v>0</v>
      </c>
      <c r="W120" s="142">
        <f>SUM(W121:W129)</f>
        <v>430098</v>
      </c>
      <c r="X120" s="142">
        <f t="shared" si="144"/>
        <v>0</v>
      </c>
      <c r="Y120" s="142">
        <f>SUM(Y121:Y129)</f>
        <v>221632.68</v>
      </c>
      <c r="Z120" s="142">
        <f>SUM(Z121:Z129)</f>
        <v>0</v>
      </c>
      <c r="AA120" s="142">
        <f>SUM(AA121:AA129)</f>
        <v>0</v>
      </c>
      <c r="AB120" s="142">
        <f>SUM(AB121:AB129)</f>
        <v>0</v>
      </c>
      <c r="AC120" s="142">
        <f>SUM(AC121:AC129)</f>
        <v>651730.68000000005</v>
      </c>
      <c r="AD120" s="142">
        <f t="shared" si="144"/>
        <v>0</v>
      </c>
      <c r="AE120" s="142">
        <f>SUM(AE121:AE129)</f>
        <v>21596</v>
      </c>
      <c r="AF120" s="173">
        <f t="shared" si="144"/>
        <v>0</v>
      </c>
      <c r="AG120" s="142">
        <f t="shared" si="144"/>
        <v>0</v>
      </c>
      <c r="AH120" s="142">
        <f t="shared" si="144"/>
        <v>0</v>
      </c>
      <c r="AI120" s="142">
        <f>SUM(AI121:AI129)</f>
        <v>673326.68</v>
      </c>
      <c r="AJ120" s="142">
        <f t="shared" si="144"/>
        <v>0</v>
      </c>
      <c r="AK120" s="142">
        <f>SUM(AK121:AK129)</f>
        <v>0</v>
      </c>
      <c r="AL120" s="142">
        <f>SUM(AL121:AL129)</f>
        <v>0</v>
      </c>
      <c r="AM120" s="143">
        <f>SUM(AM121:AM129)</f>
        <v>0</v>
      </c>
      <c r="AN120" s="143">
        <f>SUM(AN121:AN129)</f>
        <v>0</v>
      </c>
      <c r="AO120" s="142">
        <f>SUM(AO121:AO129)</f>
        <v>673326.68</v>
      </c>
      <c r="AP120" s="142">
        <f t="shared" si="144"/>
        <v>0</v>
      </c>
      <c r="AQ120" s="142">
        <f>SUM(AQ121:AQ129)</f>
        <v>0</v>
      </c>
      <c r="AR120" s="142">
        <f t="shared" si="144"/>
        <v>0</v>
      </c>
      <c r="AS120" s="142">
        <f t="shared" si="144"/>
        <v>0</v>
      </c>
      <c r="AT120" s="142">
        <f t="shared" si="144"/>
        <v>0</v>
      </c>
      <c r="AU120" s="142">
        <f>SUM(AU121:AU129)</f>
        <v>673326.68</v>
      </c>
      <c r="AV120" s="142">
        <f t="shared" ref="AV120" si="145">SUM(AV121:AV129)</f>
        <v>0</v>
      </c>
      <c r="AW120" s="142">
        <f>SUM(AW121:AW129)</f>
        <v>0</v>
      </c>
      <c r="AX120" s="142">
        <f>SUM(AX121:AX129)</f>
        <v>0</v>
      </c>
      <c r="AY120" s="142">
        <f>SUM(AY121:AY129)</f>
        <v>0</v>
      </c>
      <c r="AZ120" s="142">
        <f t="shared" si="144"/>
        <v>0</v>
      </c>
      <c r="BA120" s="142">
        <f>SUM(BA121:BA129)</f>
        <v>673326.68</v>
      </c>
      <c r="BB120" s="142">
        <f t="shared" si="144"/>
        <v>0</v>
      </c>
      <c r="BC120" s="142">
        <f t="shared" si="144"/>
        <v>0</v>
      </c>
      <c r="BD120" s="142">
        <f t="shared" si="144"/>
        <v>0</v>
      </c>
      <c r="BE120" s="142">
        <f t="shared" si="144"/>
        <v>0</v>
      </c>
      <c r="BF120" s="142">
        <f t="shared" si="144"/>
        <v>0</v>
      </c>
      <c r="BG120" s="142">
        <f>SUM(BG121:BG129)</f>
        <v>673326.68</v>
      </c>
      <c r="BH120" s="142">
        <f t="shared" si="144"/>
        <v>0</v>
      </c>
      <c r="BI120" s="142">
        <f t="shared" si="144"/>
        <v>0</v>
      </c>
      <c r="BJ120" s="142">
        <f t="shared" si="144"/>
        <v>0</v>
      </c>
      <c r="BK120" s="142">
        <f t="shared" si="144"/>
        <v>0</v>
      </c>
      <c r="BL120" s="142">
        <f t="shared" si="144"/>
        <v>0</v>
      </c>
      <c r="BM120" s="142">
        <f>SUM(BM121:BM129)</f>
        <v>673326.68</v>
      </c>
      <c r="BN120" s="142">
        <f>SUM(BN121:BN129)</f>
        <v>0</v>
      </c>
      <c r="BO120" s="142">
        <f t="shared" si="144"/>
        <v>0</v>
      </c>
      <c r="BP120" s="142">
        <f t="shared" si="144"/>
        <v>0</v>
      </c>
      <c r="BQ120" s="142">
        <f t="shared" si="144"/>
        <v>0</v>
      </c>
      <c r="BR120" s="142">
        <f t="shared" ref="BR120:CD120" si="146">SUM(BR121:BR129)</f>
        <v>0</v>
      </c>
      <c r="BS120" s="142">
        <f>SUM(BS121:BS129)</f>
        <v>673326.68</v>
      </c>
      <c r="BT120" s="142">
        <f t="shared" si="146"/>
        <v>0</v>
      </c>
      <c r="BU120" s="142">
        <f>SUM(BU121:BU129)</f>
        <v>0</v>
      </c>
      <c r="BV120" s="142">
        <f t="shared" si="146"/>
        <v>0</v>
      </c>
      <c r="BW120" s="142">
        <f t="shared" si="146"/>
        <v>0</v>
      </c>
      <c r="BX120" s="142">
        <f t="shared" si="146"/>
        <v>0</v>
      </c>
      <c r="BY120" s="142">
        <f>SUM(BY121:BY129)</f>
        <v>673326.68</v>
      </c>
      <c r="BZ120" s="142">
        <f t="shared" si="146"/>
        <v>0</v>
      </c>
      <c r="CA120" s="143">
        <f>SUM(CA121:CA129)</f>
        <v>0</v>
      </c>
      <c r="CB120" s="143">
        <f>SUM(CB121:CB129)</f>
        <v>0</v>
      </c>
      <c r="CC120" s="142">
        <f>SUM(CC121:CC129)</f>
        <v>673326.68</v>
      </c>
      <c r="CD120" s="142">
        <f t="shared" si="146"/>
        <v>0</v>
      </c>
      <c r="CE120" s="144"/>
      <c r="CF120" s="144">
        <f>8000+1552+4000+3900+5000+43434.45+21392.35+554.37+8560+7000+25000+1500+6000+72000+1800+3779+2174+7200+95000+23579+6400+10775+7000+328+11520+1116+75250+4000+1850+45885.81+20701.49+8560+637.99+1505+8000+7500</f>
        <v>552454.46</v>
      </c>
    </row>
    <row r="121" spans="1:84">
      <c r="A121" s="31"/>
      <c r="B121" s="5" t="s">
        <v>342</v>
      </c>
      <c r="C121" s="32"/>
      <c r="D121" s="32"/>
      <c r="E121" s="33"/>
      <c r="F121" s="33"/>
      <c r="G121" s="33"/>
      <c r="H121" s="33"/>
      <c r="I121" s="33"/>
      <c r="J121" s="33"/>
      <c r="K121" s="36">
        <f>SUM(E121+G121-H121+I121-J121)</f>
        <v>0</v>
      </c>
      <c r="L121" s="33"/>
      <c r="M121" s="33"/>
      <c r="N121" s="33"/>
      <c r="O121" s="33"/>
      <c r="P121" s="33"/>
      <c r="Q121" s="36">
        <f>SUM(K121+M121-N121+O121-P121)</f>
        <v>0</v>
      </c>
      <c r="R121" s="33"/>
      <c r="S121" s="33"/>
      <c r="T121" s="33"/>
      <c r="U121" s="33"/>
      <c r="V121" s="33"/>
      <c r="W121" s="36">
        <f>SUM(Q121+S121-T121+U121-V121)</f>
        <v>0</v>
      </c>
      <c r="X121" s="33"/>
      <c r="Y121" s="33"/>
      <c r="Z121" s="33"/>
      <c r="AA121" s="33"/>
      <c r="AB121" s="33"/>
      <c r="AC121" s="36">
        <f t="shared" ref="AC121:AC129" si="147">SUM(W121+Y121-Z121+AA121-AB121)</f>
        <v>0</v>
      </c>
      <c r="AD121" s="33"/>
      <c r="AE121" s="33"/>
      <c r="AF121" s="170"/>
      <c r="AG121" s="33"/>
      <c r="AH121" s="33"/>
      <c r="AI121" s="36">
        <f t="shared" ref="AI121:AI129" si="148">SUM(AC121+AE121-AF121+AG121-AH121)</f>
        <v>0</v>
      </c>
      <c r="AJ121" s="33"/>
      <c r="AK121" s="33"/>
      <c r="AL121" s="33"/>
      <c r="AM121" s="33"/>
      <c r="AN121" s="33"/>
      <c r="AO121" s="36">
        <f t="shared" ref="AO121:AO129" si="149">SUM(AI121+AK121-AL121+AM121-AN121)</f>
        <v>0</v>
      </c>
      <c r="AP121" s="33"/>
      <c r="AQ121" s="33"/>
      <c r="AR121" s="33"/>
      <c r="AS121" s="33"/>
      <c r="AT121" s="33"/>
      <c r="AU121" s="36">
        <f t="shared" ref="AU121:AU129" si="150">SUM(AO121+AQ121-AR121+AS121-AT121)</f>
        <v>0</v>
      </c>
      <c r="AV121" s="33"/>
      <c r="AW121" s="33"/>
      <c r="AX121" s="33"/>
      <c r="AY121" s="33"/>
      <c r="AZ121" s="33"/>
      <c r="BA121" s="36">
        <f t="shared" ref="BA121:BA129" si="151">SUM(AU121+AW121-AX121+AY121-AZ121)</f>
        <v>0</v>
      </c>
      <c r="BB121" s="33"/>
      <c r="BC121" s="33"/>
      <c r="BD121" s="33"/>
      <c r="BE121" s="33"/>
      <c r="BF121" s="33"/>
      <c r="BG121" s="36">
        <f t="shared" ref="BG121:BG127" si="152">SUM(BA121+BC121-BD121+BE121-BF121)</f>
        <v>0</v>
      </c>
      <c r="BH121" s="33"/>
      <c r="BI121" s="33"/>
      <c r="BJ121" s="33"/>
      <c r="BK121" s="33"/>
      <c r="BL121" s="33"/>
      <c r="BM121" s="36">
        <f t="shared" ref="BM121:BM129" si="153">SUM(BG121+BI121-BJ121+BK121-BL121)</f>
        <v>0</v>
      </c>
      <c r="BN121" s="33"/>
      <c r="BO121" s="33"/>
      <c r="BP121" s="33"/>
      <c r="BQ121" s="33"/>
      <c r="BR121" s="33"/>
      <c r="BS121" s="36">
        <f t="shared" ref="BS121:BS129" si="154">SUM(BM121+BO121-BP121+BQ121-BR121)</f>
        <v>0</v>
      </c>
      <c r="BT121" s="33"/>
      <c r="BU121" s="33"/>
      <c r="BV121" s="33"/>
      <c r="BW121" s="33"/>
      <c r="BX121" s="33"/>
      <c r="BY121" s="36">
        <f t="shared" ref="BY121:BY129" si="155">SUM(BS121+BU121-BV121+BW121-BX121)</f>
        <v>0</v>
      </c>
      <c r="BZ121" s="33"/>
      <c r="CA121" s="33"/>
      <c r="CB121" s="33"/>
      <c r="CC121" s="36">
        <f>+BY121+CA121-CB121</f>
        <v>0</v>
      </c>
      <c r="CD121" s="33"/>
      <c r="CF121" s="6">
        <f>SUM(CE120:CF120)</f>
        <v>552454.46</v>
      </c>
    </row>
    <row r="122" spans="1:84">
      <c r="A122" s="148"/>
      <c r="B122" s="35" t="s">
        <v>343</v>
      </c>
      <c r="C122" s="71"/>
      <c r="D122" s="71"/>
      <c r="E122" s="124"/>
      <c r="F122" s="124"/>
      <c r="G122" s="124"/>
      <c r="H122" s="124"/>
      <c r="I122" s="124"/>
      <c r="J122" s="124"/>
      <c r="K122" s="36">
        <f>SUM(E122+G122-H122+I122-J122)</f>
        <v>0</v>
      </c>
      <c r="L122" s="124"/>
      <c r="M122" s="124"/>
      <c r="N122" s="124"/>
      <c r="O122" s="124"/>
      <c r="P122" s="124"/>
      <c r="Q122" s="36">
        <f>SUM(K122+M122-N122+O122-P122)</f>
        <v>0</v>
      </c>
      <c r="R122" s="124"/>
      <c r="S122" s="124"/>
      <c r="T122" s="124"/>
      <c r="U122" s="124"/>
      <c r="V122" s="124"/>
      <c r="W122" s="36">
        <f>SUM(Q122+S122-T122+U122-V122)</f>
        <v>0</v>
      </c>
      <c r="X122" s="124"/>
      <c r="Y122" s="124"/>
      <c r="Z122" s="124"/>
      <c r="AA122" s="124"/>
      <c r="AB122" s="124"/>
      <c r="AC122" s="36">
        <f>SUM(W122+Y122-Z122+AA122-AB122)</f>
        <v>0</v>
      </c>
      <c r="AD122" s="124"/>
      <c r="AE122" s="124"/>
      <c r="AF122" s="270"/>
      <c r="AG122" s="124"/>
      <c r="AH122" s="124"/>
      <c r="AI122" s="36">
        <f t="shared" si="148"/>
        <v>0</v>
      </c>
      <c r="AJ122" s="124"/>
      <c r="AK122" s="124"/>
      <c r="AL122" s="124"/>
      <c r="AM122" s="124"/>
      <c r="AN122" s="124"/>
      <c r="AO122" s="36">
        <f t="shared" si="149"/>
        <v>0</v>
      </c>
      <c r="AP122" s="124"/>
      <c r="AQ122" s="124"/>
      <c r="AR122" s="124"/>
      <c r="AS122" s="124"/>
      <c r="AT122" s="124"/>
      <c r="AU122" s="36">
        <f t="shared" si="150"/>
        <v>0</v>
      </c>
      <c r="AV122" s="124"/>
      <c r="AW122" s="124"/>
      <c r="AX122" s="124"/>
      <c r="AY122" s="124"/>
      <c r="AZ122" s="124"/>
      <c r="BA122" s="36">
        <f t="shared" si="151"/>
        <v>0</v>
      </c>
      <c r="BB122" s="124"/>
      <c r="BC122" s="124"/>
      <c r="BD122" s="124"/>
      <c r="BE122" s="124"/>
      <c r="BF122" s="124"/>
      <c r="BG122" s="36">
        <f t="shared" si="152"/>
        <v>0</v>
      </c>
      <c r="BH122" s="124"/>
      <c r="BI122" s="124"/>
      <c r="BJ122" s="124"/>
      <c r="BK122" s="124"/>
      <c r="BL122" s="124"/>
      <c r="BM122" s="36">
        <f t="shared" si="153"/>
        <v>0</v>
      </c>
      <c r="BN122" s="124"/>
      <c r="BO122" s="124"/>
      <c r="BP122" s="124"/>
      <c r="BQ122" s="124"/>
      <c r="BR122" s="124"/>
      <c r="BS122" s="36">
        <f t="shared" si="154"/>
        <v>0</v>
      </c>
      <c r="BT122" s="124"/>
      <c r="BU122" s="124"/>
      <c r="BV122" s="124"/>
      <c r="BW122" s="124"/>
      <c r="BX122" s="124"/>
      <c r="BY122" s="36">
        <f t="shared" si="155"/>
        <v>0</v>
      </c>
      <c r="BZ122" s="124"/>
      <c r="CA122" s="124"/>
      <c r="CB122" s="124"/>
      <c r="CC122" s="36">
        <f>+BY122+CA122-CB122</f>
        <v>0</v>
      </c>
      <c r="CD122" s="124"/>
    </row>
    <row r="123" spans="1:84">
      <c r="A123" s="34"/>
      <c r="B123" s="35" t="s">
        <v>341</v>
      </c>
      <c r="C123" s="35"/>
      <c r="D123" s="35"/>
      <c r="E123" s="36"/>
      <c r="F123" s="36"/>
      <c r="G123" s="36">
        <f>13490+500+360</f>
        <v>14350</v>
      </c>
      <c r="H123" s="36"/>
      <c r="I123" s="36"/>
      <c r="J123" s="36"/>
      <c r="K123" s="36">
        <f t="shared" ref="K123:K129" si="156">SUM(E123+G123-H123+I123-J123)</f>
        <v>14350</v>
      </c>
      <c r="L123" s="36"/>
      <c r="M123" s="36">
        <f>12932+651</f>
        <v>13583</v>
      </c>
      <c r="N123" s="36"/>
      <c r="O123" s="36"/>
      <c r="P123" s="36"/>
      <c r="Q123" s="36">
        <f>SUM(K123+M123-N123+O123-P123)</f>
        <v>27933</v>
      </c>
      <c r="R123" s="36"/>
      <c r="S123" s="36">
        <f>12932+651</f>
        <v>13583</v>
      </c>
      <c r="T123" s="36"/>
      <c r="U123" s="36"/>
      <c r="V123" s="36"/>
      <c r="W123" s="36">
        <f t="shared" ref="W123:W129" si="157">SUM(Q123+S123-T123+U123-V123)</f>
        <v>41516</v>
      </c>
      <c r="X123" s="36"/>
      <c r="Y123" s="36">
        <f>12619+651</f>
        <v>13270</v>
      </c>
      <c r="Z123" s="36"/>
      <c r="AA123" s="36"/>
      <c r="AB123" s="36"/>
      <c r="AC123" s="36">
        <f t="shared" si="147"/>
        <v>54786</v>
      </c>
      <c r="AD123" s="36"/>
      <c r="AE123" s="36">
        <f>651+12445</f>
        <v>13096</v>
      </c>
      <c r="AF123" s="171"/>
      <c r="AG123" s="36"/>
      <c r="AH123" s="36"/>
      <c r="AI123" s="36">
        <f t="shared" si="148"/>
        <v>67882</v>
      </c>
      <c r="AJ123" s="36"/>
      <c r="AK123" s="36"/>
      <c r="AL123" s="36"/>
      <c r="AM123" s="36"/>
      <c r="AN123" s="36"/>
      <c r="AO123" s="36">
        <f t="shared" si="149"/>
        <v>67882</v>
      </c>
      <c r="AP123" s="36"/>
      <c r="AQ123" s="36"/>
      <c r="AR123" s="36"/>
      <c r="AS123" s="36"/>
      <c r="AT123" s="36"/>
      <c r="AU123" s="36">
        <f t="shared" si="150"/>
        <v>67882</v>
      </c>
      <c r="AV123" s="36"/>
      <c r="AW123" s="36"/>
      <c r="AX123" s="36"/>
      <c r="AY123" s="36"/>
      <c r="AZ123" s="36"/>
      <c r="BA123" s="36">
        <f t="shared" si="151"/>
        <v>67882</v>
      </c>
      <c r="BB123" s="36"/>
      <c r="BC123" s="36"/>
      <c r="BD123" s="36"/>
      <c r="BE123" s="36"/>
      <c r="BF123" s="36"/>
      <c r="BG123" s="36">
        <f t="shared" si="152"/>
        <v>67882</v>
      </c>
      <c r="BH123" s="36"/>
      <c r="BI123" s="36"/>
      <c r="BJ123" s="36"/>
      <c r="BK123" s="36"/>
      <c r="BL123" s="36"/>
      <c r="BM123" s="36">
        <f t="shared" si="153"/>
        <v>67882</v>
      </c>
      <c r="BN123" s="36"/>
      <c r="BO123" s="36"/>
      <c r="BP123" s="36"/>
      <c r="BQ123" s="36"/>
      <c r="BR123" s="36"/>
      <c r="BS123" s="36">
        <f t="shared" si="154"/>
        <v>67882</v>
      </c>
      <c r="BT123" s="36"/>
      <c r="BU123" s="36"/>
      <c r="BV123" s="36"/>
      <c r="BW123" s="36"/>
      <c r="BX123" s="36"/>
      <c r="BY123" s="36">
        <f t="shared" si="155"/>
        <v>67882</v>
      </c>
      <c r="BZ123" s="36"/>
      <c r="CA123" s="36"/>
      <c r="CB123" s="36"/>
      <c r="CC123" s="36">
        <f t="shared" ref="CC123:CC128" si="158">+BY123+CA123-CB123</f>
        <v>67882</v>
      </c>
      <c r="CD123" s="36"/>
      <c r="CF123" s="6">
        <f>SUM(CE121:CF121)</f>
        <v>552454.46</v>
      </c>
    </row>
    <row r="124" spans="1:84">
      <c r="A124" s="34"/>
      <c r="B124" s="35" t="s">
        <v>106</v>
      </c>
      <c r="C124" s="35"/>
      <c r="D124" s="35"/>
      <c r="E124" s="36"/>
      <c r="F124" s="36"/>
      <c r="G124" s="36">
        <v>7500</v>
      </c>
      <c r="H124" s="36"/>
      <c r="I124" s="36"/>
      <c r="J124" s="36"/>
      <c r="K124" s="36">
        <f t="shared" si="156"/>
        <v>7500</v>
      </c>
      <c r="L124" s="36"/>
      <c r="M124" s="36">
        <v>7500</v>
      </c>
      <c r="N124" s="36"/>
      <c r="O124" s="36"/>
      <c r="P124" s="36"/>
      <c r="Q124" s="36">
        <f>SUM(K124+M124-N124+O124-P124)</f>
        <v>15000</v>
      </c>
      <c r="R124" s="36"/>
      <c r="S124" s="36">
        <v>8500</v>
      </c>
      <c r="T124" s="36"/>
      <c r="U124" s="36"/>
      <c r="V124" s="36"/>
      <c r="W124" s="36">
        <f>SUM(Q124+S124-T124+U124-V124)</f>
        <v>23500</v>
      </c>
      <c r="X124" s="36"/>
      <c r="Y124" s="36">
        <v>8500</v>
      </c>
      <c r="Z124" s="36"/>
      <c r="AA124" s="36"/>
      <c r="AB124" s="36"/>
      <c r="AC124" s="36">
        <f t="shared" si="147"/>
        <v>32000</v>
      </c>
      <c r="AD124" s="36"/>
      <c r="AE124" s="36">
        <v>8500</v>
      </c>
      <c r="AF124" s="171"/>
      <c r="AG124" s="36"/>
      <c r="AH124" s="36"/>
      <c r="AI124" s="36">
        <f t="shared" si="148"/>
        <v>40500</v>
      </c>
      <c r="AJ124" s="36"/>
      <c r="AK124" s="36"/>
      <c r="AL124" s="36"/>
      <c r="AM124" s="36"/>
      <c r="AN124" s="36"/>
      <c r="AO124" s="36">
        <f t="shared" si="149"/>
        <v>40500</v>
      </c>
      <c r="AP124" s="36"/>
      <c r="AQ124" s="36"/>
      <c r="AR124" s="36"/>
      <c r="AS124" s="36"/>
      <c r="AT124" s="36"/>
      <c r="AU124" s="36">
        <f t="shared" si="150"/>
        <v>40500</v>
      </c>
      <c r="AV124" s="36"/>
      <c r="AW124" s="36"/>
      <c r="AX124" s="36"/>
      <c r="AY124" s="36"/>
      <c r="AZ124" s="36"/>
      <c r="BA124" s="36">
        <f t="shared" si="151"/>
        <v>40500</v>
      </c>
      <c r="BB124" s="36"/>
      <c r="BC124" s="36"/>
      <c r="BD124" s="36"/>
      <c r="BE124" s="36"/>
      <c r="BF124" s="36"/>
      <c r="BG124" s="36">
        <f t="shared" si="152"/>
        <v>40500</v>
      </c>
      <c r="BH124" s="36"/>
      <c r="BI124" s="36"/>
      <c r="BJ124" s="36"/>
      <c r="BK124" s="36"/>
      <c r="BL124" s="36"/>
      <c r="BM124" s="36">
        <f t="shared" si="153"/>
        <v>40500</v>
      </c>
      <c r="BN124" s="36"/>
      <c r="BO124" s="36"/>
      <c r="BP124" s="36"/>
      <c r="BQ124" s="36"/>
      <c r="BR124" s="36"/>
      <c r="BS124" s="36">
        <f t="shared" si="154"/>
        <v>40500</v>
      </c>
      <c r="BT124" s="36"/>
      <c r="BU124" s="36"/>
      <c r="BV124" s="36"/>
      <c r="BW124" s="36"/>
      <c r="BX124" s="36"/>
      <c r="BY124" s="36">
        <f t="shared" si="155"/>
        <v>40500</v>
      </c>
      <c r="BZ124" s="36"/>
      <c r="CA124" s="36"/>
      <c r="CB124" s="36"/>
      <c r="CC124" s="36">
        <f t="shared" si="158"/>
        <v>40500</v>
      </c>
      <c r="CD124" s="36"/>
      <c r="CF124" s="6">
        <f>+BI119-CF123</f>
        <v>-552454.46</v>
      </c>
    </row>
    <row r="125" spans="1:84">
      <c r="A125" s="34"/>
      <c r="B125" s="35" t="s">
        <v>107</v>
      </c>
      <c r="C125" s="35"/>
      <c r="D125" s="35"/>
      <c r="E125" s="36"/>
      <c r="F125" s="36"/>
      <c r="G125" s="36"/>
      <c r="H125" s="36"/>
      <c r="I125" s="36"/>
      <c r="J125" s="36"/>
      <c r="K125" s="36">
        <f t="shared" si="156"/>
        <v>0</v>
      </c>
      <c r="L125" s="36"/>
      <c r="M125" s="36"/>
      <c r="N125" s="36"/>
      <c r="O125" s="36"/>
      <c r="P125" s="36"/>
      <c r="Q125" s="36">
        <f t="shared" ref="Q125:Q129" si="159">SUM(K125+M125-N125+O125-P125)</f>
        <v>0</v>
      </c>
      <c r="R125" s="36"/>
      <c r="S125" s="36">
        <v>20648</v>
      </c>
      <c r="T125" s="36"/>
      <c r="U125" s="36"/>
      <c r="V125" s="36"/>
      <c r="W125" s="36">
        <f t="shared" si="157"/>
        <v>20648</v>
      </c>
      <c r="X125" s="36"/>
      <c r="Y125" s="36"/>
      <c r="Z125" s="36"/>
      <c r="AA125" s="36"/>
      <c r="AB125" s="36"/>
      <c r="AC125" s="36">
        <f t="shared" si="147"/>
        <v>20648</v>
      </c>
      <c r="AD125" s="36"/>
      <c r="AE125" s="36"/>
      <c r="AF125" s="171"/>
      <c r="AG125" s="36"/>
      <c r="AH125" s="36"/>
      <c r="AI125" s="36">
        <f>SUM(AC125+AE125-AF125+AG125-AH125)</f>
        <v>20648</v>
      </c>
      <c r="AJ125" s="36"/>
      <c r="AK125" s="36"/>
      <c r="AL125" s="36"/>
      <c r="AM125" s="36"/>
      <c r="AN125" s="36"/>
      <c r="AO125" s="36">
        <f t="shared" si="149"/>
        <v>20648</v>
      </c>
      <c r="AP125" s="36"/>
      <c r="AQ125" s="36"/>
      <c r="AR125" s="36"/>
      <c r="AS125" s="36"/>
      <c r="AT125" s="36"/>
      <c r="AU125" s="36">
        <f t="shared" si="150"/>
        <v>20648</v>
      </c>
      <c r="AV125" s="36"/>
      <c r="AW125" s="36"/>
      <c r="AX125" s="36"/>
      <c r="AY125" s="36"/>
      <c r="AZ125" s="36"/>
      <c r="BA125" s="36">
        <f t="shared" si="151"/>
        <v>20648</v>
      </c>
      <c r="BB125" s="36"/>
      <c r="BC125" s="36"/>
      <c r="BD125" s="36"/>
      <c r="BE125" s="36"/>
      <c r="BF125" s="36"/>
      <c r="BG125" s="36">
        <f t="shared" si="152"/>
        <v>20648</v>
      </c>
      <c r="BH125" s="36"/>
      <c r="BI125" s="36"/>
      <c r="BJ125" s="36"/>
      <c r="BK125" s="36"/>
      <c r="BL125" s="36"/>
      <c r="BM125" s="36">
        <f t="shared" si="153"/>
        <v>20648</v>
      </c>
      <c r="BN125" s="36"/>
      <c r="BO125" s="36"/>
      <c r="BP125" s="36"/>
      <c r="BQ125" s="36"/>
      <c r="BR125" s="36"/>
      <c r="BS125" s="36">
        <f t="shared" si="154"/>
        <v>20648</v>
      </c>
      <c r="BT125" s="36"/>
      <c r="BU125" s="36"/>
      <c r="BV125" s="36"/>
      <c r="BW125" s="36"/>
      <c r="BX125" s="36"/>
      <c r="BY125" s="36">
        <f t="shared" si="155"/>
        <v>20648</v>
      </c>
      <c r="BZ125" s="36"/>
      <c r="CA125" s="36"/>
      <c r="CB125" s="36"/>
      <c r="CC125" s="36">
        <f t="shared" si="158"/>
        <v>20648</v>
      </c>
      <c r="CD125" s="36"/>
    </row>
    <row r="126" spans="1:84">
      <c r="A126" s="34"/>
      <c r="B126" s="35" t="s">
        <v>219</v>
      </c>
      <c r="C126" s="35"/>
      <c r="D126" s="35"/>
      <c r="E126" s="36"/>
      <c r="F126" s="36"/>
      <c r="G126" s="36"/>
      <c r="H126" s="36"/>
      <c r="I126" s="36"/>
      <c r="J126" s="36"/>
      <c r="K126" s="36">
        <f t="shared" si="156"/>
        <v>0</v>
      </c>
      <c r="L126" s="36"/>
      <c r="M126" s="36"/>
      <c r="N126" s="36"/>
      <c r="O126" s="36"/>
      <c r="P126" s="36"/>
      <c r="Q126" s="36">
        <f t="shared" si="159"/>
        <v>0</v>
      </c>
      <c r="R126" s="36"/>
      <c r="S126" s="36"/>
      <c r="T126" s="36"/>
      <c r="U126" s="36"/>
      <c r="V126" s="36"/>
      <c r="W126" s="36">
        <f t="shared" si="157"/>
        <v>0</v>
      </c>
      <c r="X126" s="36"/>
      <c r="Y126" s="36">
        <v>171000</v>
      </c>
      <c r="Z126" s="36"/>
      <c r="AA126" s="36"/>
      <c r="AB126" s="36"/>
      <c r="AC126" s="36">
        <f t="shared" si="147"/>
        <v>171000</v>
      </c>
      <c r="AD126" s="36"/>
      <c r="AE126" s="36"/>
      <c r="AF126" s="171"/>
      <c r="AG126" s="36"/>
      <c r="AH126" s="36"/>
      <c r="AI126" s="36">
        <f>SUM(AC126+AE126-AF126+AG126-AH126)</f>
        <v>171000</v>
      </c>
      <c r="AJ126" s="36"/>
      <c r="AK126" s="36"/>
      <c r="AL126" s="36"/>
      <c r="AM126" s="36"/>
      <c r="AN126" s="36"/>
      <c r="AO126" s="36">
        <f t="shared" si="149"/>
        <v>171000</v>
      </c>
      <c r="AP126" s="36"/>
      <c r="AQ126" s="36"/>
      <c r="AR126" s="36"/>
      <c r="AS126" s="36"/>
      <c r="AT126" s="36"/>
      <c r="AU126" s="36">
        <f t="shared" si="150"/>
        <v>171000</v>
      </c>
      <c r="AV126" s="36"/>
      <c r="AW126" s="36"/>
      <c r="AX126" s="36"/>
      <c r="AY126" s="36"/>
      <c r="AZ126" s="36"/>
      <c r="BA126" s="36">
        <f t="shared" si="151"/>
        <v>171000</v>
      </c>
      <c r="BB126" s="36"/>
      <c r="BC126" s="36"/>
      <c r="BD126" s="36"/>
      <c r="BE126" s="36"/>
      <c r="BF126" s="36"/>
      <c r="BG126" s="36">
        <f t="shared" si="152"/>
        <v>171000</v>
      </c>
      <c r="BH126" s="36"/>
      <c r="BI126" s="36"/>
      <c r="BJ126" s="36"/>
      <c r="BK126" s="36"/>
      <c r="BL126" s="36"/>
      <c r="BM126" s="36">
        <f t="shared" si="153"/>
        <v>171000</v>
      </c>
      <c r="BN126" s="36"/>
      <c r="BO126" s="36"/>
      <c r="BP126" s="36"/>
      <c r="BQ126" s="36"/>
      <c r="BR126" s="36"/>
      <c r="BS126" s="36">
        <f t="shared" si="154"/>
        <v>171000</v>
      </c>
      <c r="BT126" s="36"/>
      <c r="BU126" s="36"/>
      <c r="BV126" s="36"/>
      <c r="BW126" s="36"/>
      <c r="BX126" s="36"/>
      <c r="BY126" s="36">
        <f t="shared" si="155"/>
        <v>171000</v>
      </c>
      <c r="BZ126" s="36"/>
      <c r="CA126" s="36"/>
      <c r="CB126" s="36"/>
      <c r="CC126" s="36">
        <f t="shared" si="158"/>
        <v>171000</v>
      </c>
      <c r="CD126" s="36"/>
    </row>
    <row r="127" spans="1:84">
      <c r="A127" s="34"/>
      <c r="B127" s="35" t="s">
        <v>108</v>
      </c>
      <c r="C127" s="35"/>
      <c r="D127" s="35"/>
      <c r="E127" s="36"/>
      <c r="F127" s="36"/>
      <c r="G127" s="36"/>
      <c r="H127" s="36"/>
      <c r="I127" s="36"/>
      <c r="J127" s="36"/>
      <c r="K127" s="36">
        <f t="shared" si="156"/>
        <v>0</v>
      </c>
      <c r="L127" s="36"/>
      <c r="M127" s="36"/>
      <c r="N127" s="36"/>
      <c r="O127" s="36"/>
      <c r="P127" s="36"/>
      <c r="Q127" s="36">
        <f t="shared" si="159"/>
        <v>0</v>
      </c>
      <c r="R127" s="36"/>
      <c r="S127" s="36">
        <v>344434</v>
      </c>
      <c r="T127" s="36"/>
      <c r="U127" s="36"/>
      <c r="V127" s="36"/>
      <c r="W127" s="36">
        <f t="shared" si="157"/>
        <v>344434</v>
      </c>
      <c r="X127" s="36"/>
      <c r="Y127" s="36"/>
      <c r="Z127" s="36"/>
      <c r="AA127" s="36"/>
      <c r="AB127" s="36"/>
      <c r="AC127" s="36">
        <f t="shared" si="147"/>
        <v>344434</v>
      </c>
      <c r="AD127" s="36"/>
      <c r="AE127" s="36"/>
      <c r="AF127" s="171"/>
      <c r="AG127" s="36"/>
      <c r="AH127" s="36"/>
      <c r="AI127" s="36">
        <f>SUM(AC127+AE127-AF127+AG127-AH127)</f>
        <v>344434</v>
      </c>
      <c r="AJ127" s="36"/>
      <c r="AK127" s="36"/>
      <c r="AL127" s="36"/>
      <c r="AM127" s="36"/>
      <c r="AN127" s="36"/>
      <c r="AO127" s="36">
        <f t="shared" si="149"/>
        <v>344434</v>
      </c>
      <c r="AP127" s="36"/>
      <c r="AQ127" s="36"/>
      <c r="AR127" s="36"/>
      <c r="AS127" s="36"/>
      <c r="AT127" s="36"/>
      <c r="AU127" s="36">
        <f t="shared" si="150"/>
        <v>344434</v>
      </c>
      <c r="AV127" s="36"/>
      <c r="AW127" s="36"/>
      <c r="AX127" s="36"/>
      <c r="AY127" s="36"/>
      <c r="AZ127" s="36"/>
      <c r="BA127" s="36">
        <f t="shared" si="151"/>
        <v>344434</v>
      </c>
      <c r="BB127" s="36"/>
      <c r="BC127" s="36"/>
      <c r="BD127" s="36"/>
      <c r="BE127" s="36"/>
      <c r="BF127" s="36"/>
      <c r="BG127" s="36">
        <f t="shared" si="152"/>
        <v>344434</v>
      </c>
      <c r="BH127" s="36"/>
      <c r="BI127" s="36"/>
      <c r="BJ127" s="36"/>
      <c r="BK127" s="36"/>
      <c r="BL127" s="36"/>
      <c r="BM127" s="36">
        <f t="shared" si="153"/>
        <v>344434</v>
      </c>
      <c r="BN127" s="36"/>
      <c r="BO127" s="36"/>
      <c r="BP127" s="36"/>
      <c r="BQ127" s="36"/>
      <c r="BR127" s="36"/>
      <c r="BS127" s="36">
        <f t="shared" si="154"/>
        <v>344434</v>
      </c>
      <c r="BT127" s="36"/>
      <c r="BU127" s="36"/>
      <c r="BV127" s="36"/>
      <c r="BW127" s="36"/>
      <c r="BX127" s="36"/>
      <c r="BY127" s="36">
        <f t="shared" si="155"/>
        <v>344434</v>
      </c>
      <c r="BZ127" s="36"/>
      <c r="CA127" s="36"/>
      <c r="CB127" s="36"/>
      <c r="CC127" s="36">
        <f t="shared" si="158"/>
        <v>344434</v>
      </c>
      <c r="CD127" s="36"/>
      <c r="CF127" s="6">
        <f>+BI119+BK119</f>
        <v>0</v>
      </c>
    </row>
    <row r="128" spans="1:84">
      <c r="A128" s="66"/>
      <c r="B128" s="67" t="s">
        <v>237</v>
      </c>
      <c r="C128" s="67"/>
      <c r="D128" s="67"/>
      <c r="E128" s="51"/>
      <c r="F128" s="51"/>
      <c r="G128" s="51"/>
      <c r="H128" s="51"/>
      <c r="I128" s="51"/>
      <c r="J128" s="51"/>
      <c r="K128" s="36">
        <f t="shared" si="156"/>
        <v>0</v>
      </c>
      <c r="L128" s="51"/>
      <c r="M128" s="51"/>
      <c r="N128" s="51"/>
      <c r="O128" s="51"/>
      <c r="P128" s="51"/>
      <c r="Q128" s="36">
        <f t="shared" si="159"/>
        <v>0</v>
      </c>
      <c r="R128" s="51"/>
      <c r="S128" s="51"/>
      <c r="T128" s="51"/>
      <c r="U128" s="51"/>
      <c r="V128" s="51"/>
      <c r="W128" s="36">
        <f t="shared" si="157"/>
        <v>0</v>
      </c>
      <c r="X128" s="51"/>
      <c r="Y128" s="51">
        <v>28862.68</v>
      </c>
      <c r="Z128" s="51"/>
      <c r="AA128" s="51"/>
      <c r="AB128" s="51"/>
      <c r="AC128" s="36">
        <f t="shared" si="147"/>
        <v>28862.68</v>
      </c>
      <c r="AD128" s="51"/>
      <c r="AE128" s="51"/>
      <c r="AF128" s="174"/>
      <c r="AG128" s="51"/>
      <c r="AH128" s="51"/>
      <c r="AI128" s="36">
        <f t="shared" si="148"/>
        <v>28862.68</v>
      </c>
      <c r="AJ128" s="51"/>
      <c r="AK128" s="51"/>
      <c r="AL128" s="51"/>
      <c r="AM128" s="51"/>
      <c r="AN128" s="51"/>
      <c r="AO128" s="36">
        <f t="shared" si="149"/>
        <v>28862.68</v>
      </c>
      <c r="AP128" s="51"/>
      <c r="AQ128" s="51"/>
      <c r="AR128" s="51"/>
      <c r="AS128" s="51"/>
      <c r="AT128" s="51"/>
      <c r="AU128" s="36">
        <f t="shared" si="150"/>
        <v>28862.68</v>
      </c>
      <c r="AV128" s="51"/>
      <c r="AW128" s="51">
        <v>0</v>
      </c>
      <c r="AX128" s="51"/>
      <c r="AY128" s="51"/>
      <c r="AZ128" s="51"/>
      <c r="BA128" s="36">
        <f t="shared" si="151"/>
        <v>28862.68</v>
      </c>
      <c r="BB128" s="51"/>
      <c r="BC128" s="51"/>
      <c r="BD128" s="51"/>
      <c r="BE128" s="51"/>
      <c r="BF128" s="51"/>
      <c r="BG128" s="36">
        <f>SUM(BA128+BC128-BD128+BE128-BF128)</f>
        <v>28862.68</v>
      </c>
      <c r="BH128" s="51"/>
      <c r="BI128" s="51"/>
      <c r="BJ128" s="51"/>
      <c r="BK128" s="51"/>
      <c r="BL128" s="51"/>
      <c r="BM128" s="36">
        <f t="shared" si="153"/>
        <v>28862.68</v>
      </c>
      <c r="BN128" s="51"/>
      <c r="BO128" s="51"/>
      <c r="BP128" s="51"/>
      <c r="BQ128" s="51"/>
      <c r="BR128" s="51"/>
      <c r="BS128" s="36">
        <f t="shared" si="154"/>
        <v>28862.68</v>
      </c>
      <c r="BT128" s="51"/>
      <c r="BU128" s="51"/>
      <c r="BV128" s="51"/>
      <c r="BW128" s="51"/>
      <c r="BX128" s="51"/>
      <c r="BY128" s="36">
        <f t="shared" si="155"/>
        <v>28862.68</v>
      </c>
      <c r="BZ128" s="51"/>
      <c r="CA128" s="51"/>
      <c r="CB128" s="51"/>
      <c r="CC128" s="36">
        <f t="shared" si="158"/>
        <v>28862.68</v>
      </c>
      <c r="CD128" s="51"/>
    </row>
    <row r="129" spans="1:84">
      <c r="A129" s="37"/>
      <c r="B129" s="408"/>
      <c r="C129" s="408"/>
      <c r="D129" s="409"/>
      <c r="E129" s="39"/>
      <c r="F129" s="39"/>
      <c r="G129" s="39"/>
      <c r="H129" s="39"/>
      <c r="I129" s="39"/>
      <c r="J129" s="39"/>
      <c r="K129" s="39">
        <f t="shared" si="156"/>
        <v>0</v>
      </c>
      <c r="L129" s="39"/>
      <c r="M129" s="39"/>
      <c r="N129" s="39"/>
      <c r="O129" s="39"/>
      <c r="P129" s="39"/>
      <c r="Q129" s="39">
        <f t="shared" si="159"/>
        <v>0</v>
      </c>
      <c r="R129" s="39"/>
      <c r="S129" s="39"/>
      <c r="T129" s="39"/>
      <c r="U129" s="39"/>
      <c r="V129" s="39"/>
      <c r="W129" s="39">
        <f t="shared" si="157"/>
        <v>0</v>
      </c>
      <c r="X129" s="39"/>
      <c r="Y129" s="39"/>
      <c r="Z129" s="39"/>
      <c r="AA129" s="39"/>
      <c r="AB129" s="39"/>
      <c r="AC129" s="39">
        <f t="shared" si="147"/>
        <v>0</v>
      </c>
      <c r="AD129" s="39"/>
      <c r="AE129" s="39"/>
      <c r="AF129" s="172"/>
      <c r="AG129" s="39"/>
      <c r="AH129" s="39"/>
      <c r="AI129" s="39">
        <f t="shared" si="148"/>
        <v>0</v>
      </c>
      <c r="AJ129" s="39"/>
      <c r="AK129" s="39"/>
      <c r="AL129" s="39"/>
      <c r="AM129" s="39"/>
      <c r="AN129" s="39"/>
      <c r="AO129" s="39">
        <f t="shared" si="149"/>
        <v>0</v>
      </c>
      <c r="AP129" s="39"/>
      <c r="AQ129" s="39"/>
      <c r="AR129" s="39"/>
      <c r="AS129" s="39"/>
      <c r="AT129" s="39"/>
      <c r="AU129" s="39">
        <f t="shared" si="150"/>
        <v>0</v>
      </c>
      <c r="AV129" s="39"/>
      <c r="AW129" s="39"/>
      <c r="AX129" s="39"/>
      <c r="AY129" s="39"/>
      <c r="AZ129" s="39"/>
      <c r="BA129" s="39">
        <f t="shared" si="151"/>
        <v>0</v>
      </c>
      <c r="BB129" s="39"/>
      <c r="BC129" s="39"/>
      <c r="BD129" s="39"/>
      <c r="BE129" s="39"/>
      <c r="BF129" s="39"/>
      <c r="BG129" s="39">
        <f>SUM(BA129+BC129-BD129+BE129-BF129)</f>
        <v>0</v>
      </c>
      <c r="BH129" s="39"/>
      <c r="BI129" s="39"/>
      <c r="BJ129" s="39"/>
      <c r="BK129" s="39"/>
      <c r="BL129" s="39"/>
      <c r="BM129" s="39">
        <f t="shared" si="153"/>
        <v>0</v>
      </c>
      <c r="BN129" s="39"/>
      <c r="BO129" s="39"/>
      <c r="BP129" s="39"/>
      <c r="BQ129" s="39"/>
      <c r="BR129" s="39"/>
      <c r="BS129" s="39">
        <f t="shared" si="154"/>
        <v>0</v>
      </c>
      <c r="BT129" s="39"/>
      <c r="BU129" s="39"/>
      <c r="BV129" s="39"/>
      <c r="BW129" s="39"/>
      <c r="BX129" s="39"/>
      <c r="BY129" s="39">
        <f t="shared" si="155"/>
        <v>0</v>
      </c>
      <c r="BZ129" s="39"/>
      <c r="CA129" s="39"/>
      <c r="CB129" s="39"/>
      <c r="CC129" s="39">
        <f>SUM(BW129+BY129-BZ129+CA129-CB129)</f>
        <v>0</v>
      </c>
      <c r="CD129" s="39"/>
    </row>
    <row r="130" spans="1:84">
      <c r="A130" s="26" t="s">
        <v>99</v>
      </c>
      <c r="B130" s="24"/>
      <c r="C130" s="24"/>
      <c r="D130" s="24"/>
      <c r="E130" s="11"/>
      <c r="F130" s="11"/>
      <c r="G130" s="11">
        <v>218720</v>
      </c>
      <c r="H130" s="11"/>
      <c r="I130" s="11"/>
      <c r="J130" s="11"/>
      <c r="K130" s="11">
        <f>SUM(E130+G130-H130+I130-J130)</f>
        <v>218720</v>
      </c>
      <c r="L130" s="11"/>
      <c r="M130" s="11">
        <v>218720</v>
      </c>
      <c r="N130" s="11"/>
      <c r="O130" s="11"/>
      <c r="P130" s="11"/>
      <c r="Q130" s="11">
        <f>SUM(K130+M130-N130+O130-P130)</f>
        <v>437440</v>
      </c>
      <c r="R130" s="11"/>
      <c r="S130" s="11">
        <v>218720</v>
      </c>
      <c r="T130" s="11"/>
      <c r="U130" s="11"/>
      <c r="V130" s="11"/>
      <c r="W130" s="11">
        <f>SUM(Q130+S130-T130+U130-V130)</f>
        <v>656160</v>
      </c>
      <c r="X130" s="11"/>
      <c r="Y130" s="11">
        <v>218720</v>
      </c>
      <c r="Z130" s="11"/>
      <c r="AA130" s="11"/>
      <c r="AB130" s="11"/>
      <c r="AC130" s="11">
        <f>SUM(W130+Y130-Z130+AA130-AB130)</f>
        <v>874880</v>
      </c>
      <c r="AD130" s="11"/>
      <c r="AE130" s="11">
        <v>218720</v>
      </c>
      <c r="AF130" s="168"/>
      <c r="AG130" s="11"/>
      <c r="AH130" s="11"/>
      <c r="AI130" s="11">
        <f>SUM(AC130+AE130-AF130+AG130-AH130)</f>
        <v>1093600</v>
      </c>
      <c r="AJ130" s="11"/>
      <c r="AK130" s="11"/>
      <c r="AL130" s="11"/>
      <c r="AM130" s="11"/>
      <c r="AN130" s="11"/>
      <c r="AO130" s="11">
        <f>SUM(AI130+AK130-AL130+AM130-AN130)</f>
        <v>1093600</v>
      </c>
      <c r="AP130" s="11"/>
      <c r="AQ130" s="11"/>
      <c r="AR130" s="11"/>
      <c r="AS130" s="11"/>
      <c r="AT130" s="11"/>
      <c r="AU130" s="11">
        <f>SUM(AO130+AQ130-AR130+AS130-AT130)</f>
        <v>1093600</v>
      </c>
      <c r="AV130" s="11"/>
      <c r="AW130" s="11"/>
      <c r="AX130" s="11"/>
      <c r="AY130" s="11"/>
      <c r="AZ130" s="11"/>
      <c r="BA130" s="11">
        <f>SUM(AU130+AW130-AX130+AY130-AZ130)</f>
        <v>1093600</v>
      </c>
      <c r="BB130" s="11"/>
      <c r="BC130" s="11"/>
      <c r="BD130" s="11"/>
      <c r="BE130" s="11"/>
      <c r="BF130" s="11"/>
      <c r="BG130" s="11">
        <f>SUM(BA130+BC130-BD130+BE130-BF130)</f>
        <v>1093600</v>
      </c>
      <c r="BH130" s="11"/>
      <c r="BI130" s="11"/>
      <c r="BJ130" s="11"/>
      <c r="BK130" s="11"/>
      <c r="BL130" s="11"/>
      <c r="BM130" s="11">
        <f>SUM(BG130+BI130-BJ130+BK130-BL130)</f>
        <v>1093600</v>
      </c>
      <c r="BN130" s="11"/>
      <c r="BO130" s="11"/>
      <c r="BP130" s="11"/>
      <c r="BQ130" s="11"/>
      <c r="BR130" s="11"/>
      <c r="BS130" s="11">
        <f>SUM(BM130+BO130-BP130+BQ130-BR130)</f>
        <v>1093600</v>
      </c>
      <c r="BT130" s="11"/>
      <c r="BU130" s="11"/>
      <c r="BV130" s="11"/>
      <c r="BW130" s="11"/>
      <c r="BX130" s="11"/>
      <c r="BY130" s="11">
        <f>SUM(BS130+BU130-BV130+BW130-BX130)</f>
        <v>1093600</v>
      </c>
      <c r="BZ130" s="11"/>
      <c r="CA130" s="11"/>
      <c r="CB130" s="11"/>
      <c r="CC130" s="11">
        <f>+BY130+CA130-CB130</f>
        <v>1093600</v>
      </c>
      <c r="CD130" s="11"/>
    </row>
    <row r="131" spans="1:84">
      <c r="A131" s="26" t="s">
        <v>98</v>
      </c>
      <c r="B131" s="24"/>
      <c r="C131" s="24"/>
      <c r="D131" s="24"/>
      <c r="E131" s="11"/>
      <c r="F131" s="11"/>
      <c r="G131" s="11">
        <v>732659.61</v>
      </c>
      <c r="H131" s="11"/>
      <c r="I131" s="11"/>
      <c r="J131" s="11"/>
      <c r="K131" s="11">
        <f t="shared" ref="K131:K140" si="160">SUM(E131+G131-H131+I131-J131)</f>
        <v>732659.61</v>
      </c>
      <c r="L131" s="11"/>
      <c r="M131" s="11">
        <v>668940</v>
      </c>
      <c r="N131" s="11"/>
      <c r="O131" s="11"/>
      <c r="P131" s="11"/>
      <c r="Q131" s="11">
        <f>SUM(K131+M131-N131+O131-P131)</f>
        <v>1401599.6099999999</v>
      </c>
      <c r="R131" s="11"/>
      <c r="S131" s="11">
        <v>668940</v>
      </c>
      <c r="T131" s="11"/>
      <c r="U131" s="11"/>
      <c r="V131" s="11"/>
      <c r="W131" s="11">
        <f t="shared" ref="W131:W140" si="161">SUM(Q131+S131-T131+U131-V131)</f>
        <v>2070539.6099999999</v>
      </c>
      <c r="X131" s="11"/>
      <c r="Y131" s="11">
        <v>856342.64</v>
      </c>
      <c r="Z131" s="11"/>
      <c r="AA131" s="11"/>
      <c r="AB131" s="11"/>
      <c r="AC131" s="11">
        <f t="shared" ref="AC131:AC140" si="162">SUM(W131+Y131-Z131+AA131-AB131)</f>
        <v>2926882.25</v>
      </c>
      <c r="AD131" s="11"/>
      <c r="AE131" s="11">
        <v>683117</v>
      </c>
      <c r="AF131" s="11"/>
      <c r="AG131" s="11"/>
      <c r="AH131" s="11"/>
      <c r="AI131" s="11">
        <f t="shared" ref="AI131:AI140" si="163">SUM(AC131+AE131-AF131+AG131-AH131)</f>
        <v>3609999.25</v>
      </c>
      <c r="AJ131" s="11"/>
      <c r="AK131" s="11"/>
      <c r="AL131" s="11"/>
      <c r="AM131" s="11"/>
      <c r="AN131" s="11"/>
      <c r="AO131" s="11">
        <f t="shared" ref="AO131:AO140" si="164">SUM(AI131+AK131-AL131+AM131-AN131)</f>
        <v>3609999.25</v>
      </c>
      <c r="AP131" s="11"/>
      <c r="AQ131" s="11"/>
      <c r="AR131" s="11"/>
      <c r="AS131" s="11"/>
      <c r="AT131" s="11"/>
      <c r="AU131" s="11">
        <f>SUM(AO131+AQ131-AR131+AS131-AT131)</f>
        <v>3609999.25</v>
      </c>
      <c r="AV131" s="11"/>
      <c r="AW131" s="11"/>
      <c r="AX131" s="11"/>
      <c r="AY131" s="11"/>
      <c r="AZ131" s="11"/>
      <c r="BA131" s="11">
        <f t="shared" ref="BA131:BA140" si="165">SUM(AU131+AW131-AX131+AY131-AZ131)</f>
        <v>3609999.25</v>
      </c>
      <c r="BB131" s="11"/>
      <c r="BC131" s="11"/>
      <c r="BD131" s="11"/>
      <c r="BE131" s="11"/>
      <c r="BF131" s="11"/>
      <c r="BG131" s="11">
        <f t="shared" ref="BG131:BG140" si="166">SUM(BA131+BC131-BD131+BE131-BF131)</f>
        <v>3609999.25</v>
      </c>
      <c r="BH131" s="11"/>
      <c r="BI131" s="11"/>
      <c r="BJ131" s="11"/>
      <c r="BK131" s="11"/>
      <c r="BL131" s="11"/>
      <c r="BM131" s="11">
        <f t="shared" ref="BM131:BM140" si="167">SUM(BG131+BI131-BJ131+BK131-BL131)</f>
        <v>3609999.25</v>
      </c>
      <c r="BN131" s="11"/>
      <c r="BO131" s="11"/>
      <c r="BP131" s="11"/>
      <c r="BQ131" s="11"/>
      <c r="BR131" s="11"/>
      <c r="BS131" s="11">
        <f t="shared" ref="BS131:BS139" si="168">SUM(BM131+BO131-BP131+BQ131-BR131)</f>
        <v>3609999.25</v>
      </c>
      <c r="BT131" s="11"/>
      <c r="BU131" s="11"/>
      <c r="BV131" s="11"/>
      <c r="BW131" s="11"/>
      <c r="BX131" s="11"/>
      <c r="BY131" s="11">
        <f t="shared" ref="BY131:BY140" si="169">SUM(BS131+BU131-BV131+BW131-BX131)</f>
        <v>3609999.25</v>
      </c>
      <c r="BZ131" s="11"/>
      <c r="CA131" s="11"/>
      <c r="CB131" s="11"/>
      <c r="CC131" s="11">
        <f t="shared" ref="CC131:CC139" si="170">+BY131+CA131-CB131</f>
        <v>3609999.25</v>
      </c>
      <c r="CD131" s="11"/>
    </row>
    <row r="132" spans="1:84">
      <c r="A132" s="12" t="s">
        <v>5</v>
      </c>
      <c r="B132" s="24"/>
      <c r="C132" s="24"/>
      <c r="D132" s="24"/>
      <c r="E132" s="11"/>
      <c r="F132" s="11"/>
      <c r="G132" s="11">
        <v>13050</v>
      </c>
      <c r="H132" s="11"/>
      <c r="I132" s="11"/>
      <c r="J132" s="11"/>
      <c r="K132" s="11">
        <f>SUM(E132+G132-H132+I132-J132)</f>
        <v>13050</v>
      </c>
      <c r="L132" s="11"/>
      <c r="M132" s="11">
        <v>30503.25</v>
      </c>
      <c r="N132" s="11"/>
      <c r="O132" s="11"/>
      <c r="P132" s="11"/>
      <c r="Q132" s="11">
        <f t="shared" ref="Q132:Q140" si="171">SUM(K132+M132-N132+O132-P132)</f>
        <v>43553.25</v>
      </c>
      <c r="R132" s="11"/>
      <c r="S132" s="11">
        <v>29000</v>
      </c>
      <c r="T132" s="11"/>
      <c r="U132" s="11"/>
      <c r="V132" s="11"/>
      <c r="W132" s="11">
        <f t="shared" si="161"/>
        <v>72553.25</v>
      </c>
      <c r="X132" s="11"/>
      <c r="Y132" s="11">
        <v>29000</v>
      </c>
      <c r="Z132" s="11"/>
      <c r="AA132" s="11"/>
      <c r="AB132" s="11"/>
      <c r="AC132" s="11">
        <f t="shared" si="162"/>
        <v>101553.25</v>
      </c>
      <c r="AD132" s="11"/>
      <c r="AE132" s="11">
        <v>35970</v>
      </c>
      <c r="AF132" s="168"/>
      <c r="AG132" s="11"/>
      <c r="AH132" s="11"/>
      <c r="AI132" s="11">
        <f t="shared" si="163"/>
        <v>137523.25</v>
      </c>
      <c r="AJ132" s="11"/>
      <c r="AK132" s="11"/>
      <c r="AL132" s="11"/>
      <c r="AM132" s="11"/>
      <c r="AN132" s="11"/>
      <c r="AO132" s="11">
        <f t="shared" si="164"/>
        <v>137523.25</v>
      </c>
      <c r="AP132" s="11"/>
      <c r="AQ132" s="11"/>
      <c r="AR132" s="11"/>
      <c r="AS132" s="11"/>
      <c r="AT132" s="11"/>
      <c r="AU132" s="11">
        <f t="shared" ref="AU132:AU140" si="172">SUM(AO132+AQ132-AR132+AS132-AT132)</f>
        <v>137523.25</v>
      </c>
      <c r="AV132" s="11"/>
      <c r="AW132" s="11"/>
      <c r="AX132" s="11"/>
      <c r="AY132" s="11"/>
      <c r="AZ132" s="11"/>
      <c r="BA132" s="11">
        <f t="shared" si="165"/>
        <v>137523.25</v>
      </c>
      <c r="BB132" s="11"/>
      <c r="BC132" s="11"/>
      <c r="BD132" s="11"/>
      <c r="BE132" s="11"/>
      <c r="BF132" s="11"/>
      <c r="BG132" s="11">
        <f t="shared" si="166"/>
        <v>137523.25</v>
      </c>
      <c r="BH132" s="11"/>
      <c r="BI132" s="11"/>
      <c r="BJ132" s="11"/>
      <c r="BK132" s="11"/>
      <c r="BL132" s="11"/>
      <c r="BM132" s="11">
        <f t="shared" si="167"/>
        <v>137523.25</v>
      </c>
      <c r="BN132" s="11"/>
      <c r="BO132" s="11"/>
      <c r="BP132" s="11"/>
      <c r="BQ132" s="11"/>
      <c r="BR132" s="11"/>
      <c r="BS132" s="11">
        <f t="shared" si="168"/>
        <v>137523.25</v>
      </c>
      <c r="BT132" s="11"/>
      <c r="BU132" s="11"/>
      <c r="BV132" s="11"/>
      <c r="BW132" s="11"/>
      <c r="BX132" s="11"/>
      <c r="BY132" s="11">
        <f t="shared" si="169"/>
        <v>137523.25</v>
      </c>
      <c r="BZ132" s="11"/>
      <c r="CA132" s="11"/>
      <c r="CB132" s="11"/>
      <c r="CC132" s="11">
        <f>+BY132+CA132-CB132</f>
        <v>137523.25</v>
      </c>
      <c r="CD132" s="11"/>
    </row>
    <row r="133" spans="1:84">
      <c r="A133" s="26" t="s">
        <v>6</v>
      </c>
      <c r="B133" s="24"/>
      <c r="C133" s="24"/>
      <c r="D133" s="24"/>
      <c r="E133" s="11"/>
      <c r="F133" s="11"/>
      <c r="G133" s="11">
        <v>70855.89</v>
      </c>
      <c r="H133" s="11"/>
      <c r="I133" s="11">
        <f>3500+6362+1362+1362+6200</f>
        <v>18786</v>
      </c>
      <c r="J133" s="11"/>
      <c r="K133" s="11">
        <f t="shared" si="160"/>
        <v>89641.89</v>
      </c>
      <c r="L133" s="11"/>
      <c r="M133" s="11">
        <v>419765.5</v>
      </c>
      <c r="N133" s="11"/>
      <c r="O133" s="11">
        <f>4900+4900</f>
        <v>9800</v>
      </c>
      <c r="P133" s="11"/>
      <c r="Q133" s="11">
        <f>SUM(K133+M133-N133+O133-P133)</f>
        <v>519207.39</v>
      </c>
      <c r="R133" s="11"/>
      <c r="S133" s="11">
        <v>273307.55</v>
      </c>
      <c r="T133" s="11"/>
      <c r="U133" s="11">
        <f>2400+3900+3900</f>
        <v>10200</v>
      </c>
      <c r="V133" s="11"/>
      <c r="W133" s="11">
        <f>SUM(Q133+S133-T133+U133-V133)</f>
        <v>802714.94</v>
      </c>
      <c r="X133" s="11"/>
      <c r="Y133" s="11">
        <v>142086.5</v>
      </c>
      <c r="Z133" s="11"/>
      <c r="AA133" s="11"/>
      <c r="AB133" s="11"/>
      <c r="AC133" s="11">
        <f t="shared" si="162"/>
        <v>944801.44</v>
      </c>
      <c r="AD133" s="11"/>
      <c r="AE133" s="11">
        <v>685174.55</v>
      </c>
      <c r="AF133" s="168"/>
      <c r="AG133" s="11">
        <f>4800+4800+3900</f>
        <v>13500</v>
      </c>
      <c r="AH133" s="11"/>
      <c r="AI133" s="11">
        <f t="shared" si="163"/>
        <v>1643475.99</v>
      </c>
      <c r="AJ133" s="11"/>
      <c r="AK133" s="11"/>
      <c r="AL133" s="11"/>
      <c r="AM133" s="11"/>
      <c r="AN133" s="11"/>
      <c r="AO133" s="11">
        <f t="shared" si="164"/>
        <v>1643475.99</v>
      </c>
      <c r="AP133" s="11"/>
      <c r="AQ133" s="11"/>
      <c r="AR133" s="11"/>
      <c r="AS133" s="11"/>
      <c r="AT133" s="11"/>
      <c r="AU133" s="11">
        <f t="shared" si="172"/>
        <v>1643475.99</v>
      </c>
      <c r="AV133" s="11"/>
      <c r="AW133" s="11"/>
      <c r="AX133" s="11"/>
      <c r="AY133" s="11"/>
      <c r="AZ133" s="11"/>
      <c r="BA133" s="11">
        <f t="shared" si="165"/>
        <v>1643475.99</v>
      </c>
      <c r="BB133" s="11"/>
      <c r="BC133" s="11"/>
      <c r="BD133" s="11"/>
      <c r="BE133" s="11"/>
      <c r="BF133" s="11"/>
      <c r="BG133" s="11">
        <f>SUM(BA133+BC133-BD133+BE133-BF133)</f>
        <v>1643475.99</v>
      </c>
      <c r="BH133" s="11"/>
      <c r="BI133" s="11"/>
      <c r="BJ133" s="11"/>
      <c r="BK133" s="11"/>
      <c r="BL133" s="11"/>
      <c r="BM133" s="11">
        <f t="shared" si="167"/>
        <v>1643475.99</v>
      </c>
      <c r="BN133" s="11"/>
      <c r="BO133" s="11"/>
      <c r="BP133" s="11"/>
      <c r="BQ133" s="11"/>
      <c r="BR133" s="11"/>
      <c r="BS133" s="11">
        <f t="shared" si="168"/>
        <v>1643475.99</v>
      </c>
      <c r="BT133" s="11"/>
      <c r="BU133" s="11"/>
      <c r="BV133" s="11"/>
      <c r="BW133" s="87"/>
      <c r="BX133" s="11"/>
      <c r="BY133" s="11">
        <f>SUM(BS133+BU133-BV133+BW133-BX133)</f>
        <v>1643475.99</v>
      </c>
      <c r="BZ133" s="11"/>
      <c r="CA133" s="11"/>
      <c r="CB133" s="11"/>
      <c r="CC133" s="11">
        <f>+BY133-CB133</f>
        <v>1643475.99</v>
      </c>
      <c r="CD133" s="11"/>
    </row>
    <row r="134" spans="1:84">
      <c r="A134" s="26" t="s">
        <v>7</v>
      </c>
      <c r="B134" s="24"/>
      <c r="C134" s="24"/>
      <c r="D134" s="24"/>
      <c r="E134" s="11"/>
      <c r="F134" s="11"/>
      <c r="G134" s="11">
        <v>18076</v>
      </c>
      <c r="H134" s="11"/>
      <c r="I134" s="11"/>
      <c r="J134" s="11"/>
      <c r="K134" s="11">
        <f t="shared" si="160"/>
        <v>18076</v>
      </c>
      <c r="L134" s="11"/>
      <c r="M134" s="11">
        <v>147347.09</v>
      </c>
      <c r="N134" s="11"/>
      <c r="O134" s="11"/>
      <c r="P134" s="11"/>
      <c r="Q134" s="11">
        <f t="shared" si="171"/>
        <v>165423.09</v>
      </c>
      <c r="R134" s="11"/>
      <c r="S134" s="11">
        <v>167715.25</v>
      </c>
      <c r="T134" s="11"/>
      <c r="U134" s="11"/>
      <c r="V134" s="11"/>
      <c r="W134" s="11">
        <f t="shared" si="161"/>
        <v>333138.33999999997</v>
      </c>
      <c r="X134" s="11"/>
      <c r="Y134" s="11">
        <v>71151.59</v>
      </c>
      <c r="Z134" s="11"/>
      <c r="AA134" s="11"/>
      <c r="AB134" s="11"/>
      <c r="AC134" s="11">
        <f t="shared" si="162"/>
        <v>404289.92999999993</v>
      </c>
      <c r="AD134" s="11"/>
      <c r="AE134" s="11">
        <v>132358.06</v>
      </c>
      <c r="AF134" s="168"/>
      <c r="AG134" s="11"/>
      <c r="AH134" s="11"/>
      <c r="AI134" s="11">
        <f t="shared" si="163"/>
        <v>536647.99</v>
      </c>
      <c r="AJ134" s="11"/>
      <c r="AK134" s="11"/>
      <c r="AL134" s="11"/>
      <c r="AM134" s="11"/>
      <c r="AN134" s="11"/>
      <c r="AO134" s="11">
        <f t="shared" si="164"/>
        <v>536647.99</v>
      </c>
      <c r="AP134" s="11"/>
      <c r="AQ134" s="11"/>
      <c r="AR134" s="11"/>
      <c r="AS134" s="11"/>
      <c r="AT134" s="11"/>
      <c r="AU134" s="11">
        <f t="shared" si="172"/>
        <v>536647.99</v>
      </c>
      <c r="AV134" s="11"/>
      <c r="AW134" s="11"/>
      <c r="AX134" s="11"/>
      <c r="AY134" s="11"/>
      <c r="AZ134" s="11"/>
      <c r="BA134" s="11">
        <f t="shared" si="165"/>
        <v>536647.99</v>
      </c>
      <c r="BB134" s="11"/>
      <c r="BC134" s="11"/>
      <c r="BD134" s="11"/>
      <c r="BE134" s="11"/>
      <c r="BF134" s="11"/>
      <c r="BG134" s="11">
        <f t="shared" si="166"/>
        <v>536647.99</v>
      </c>
      <c r="BH134" s="11"/>
      <c r="BI134" s="11"/>
      <c r="BJ134" s="11"/>
      <c r="BK134" s="11"/>
      <c r="BL134" s="11"/>
      <c r="BM134" s="11">
        <f t="shared" si="167"/>
        <v>536647.99</v>
      </c>
      <c r="BN134" s="11"/>
      <c r="BO134" s="11"/>
      <c r="BP134" s="11"/>
      <c r="BQ134" s="11"/>
      <c r="BR134" s="11"/>
      <c r="BS134" s="11">
        <f t="shared" si="168"/>
        <v>536647.99</v>
      </c>
      <c r="BT134" s="11"/>
      <c r="BU134" s="11"/>
      <c r="BV134" s="11"/>
      <c r="BW134" s="87"/>
      <c r="BX134" s="11"/>
      <c r="BY134" s="11">
        <f t="shared" si="169"/>
        <v>536647.99</v>
      </c>
      <c r="BZ134" s="11"/>
      <c r="CA134" s="11"/>
      <c r="CB134" s="11"/>
      <c r="CC134" s="11">
        <f t="shared" si="170"/>
        <v>536647.99</v>
      </c>
      <c r="CD134" s="11"/>
    </row>
    <row r="135" spans="1:84">
      <c r="A135" s="12" t="s">
        <v>8</v>
      </c>
      <c r="B135" s="24"/>
      <c r="C135" s="24"/>
      <c r="D135" s="24"/>
      <c r="E135" s="11"/>
      <c r="F135" s="11"/>
      <c r="G135" s="11">
        <v>82973.429999999993</v>
      </c>
      <c r="H135" s="11"/>
      <c r="I135" s="11"/>
      <c r="J135" s="11"/>
      <c r="K135" s="11">
        <f t="shared" si="160"/>
        <v>82973.429999999993</v>
      </c>
      <c r="L135" s="11"/>
      <c r="M135" s="11">
        <v>68061.539999999994</v>
      </c>
      <c r="N135" s="11"/>
      <c r="O135" s="11"/>
      <c r="P135" s="11"/>
      <c r="Q135" s="11">
        <f t="shared" si="171"/>
        <v>151034.96999999997</v>
      </c>
      <c r="R135" s="11"/>
      <c r="S135" s="11">
        <v>82944.89</v>
      </c>
      <c r="T135" s="11"/>
      <c r="U135" s="11"/>
      <c r="V135" s="11"/>
      <c r="W135" s="11">
        <f t="shared" si="161"/>
        <v>233979.86</v>
      </c>
      <c r="X135" s="11"/>
      <c r="Y135" s="11">
        <v>20586.89</v>
      </c>
      <c r="Z135" s="11"/>
      <c r="AA135" s="11"/>
      <c r="AB135" s="11"/>
      <c r="AC135" s="11">
        <f t="shared" si="162"/>
        <v>254566.75</v>
      </c>
      <c r="AD135" s="11"/>
      <c r="AE135" s="11">
        <v>151672.18</v>
      </c>
      <c r="AF135" s="168"/>
      <c r="AG135" s="11"/>
      <c r="AH135" s="11"/>
      <c r="AI135" s="11">
        <f t="shared" si="163"/>
        <v>406238.93</v>
      </c>
      <c r="AJ135" s="11"/>
      <c r="AK135" s="11"/>
      <c r="AL135" s="11"/>
      <c r="AM135" s="11"/>
      <c r="AN135" s="11"/>
      <c r="AO135" s="11">
        <f t="shared" si="164"/>
        <v>406238.93</v>
      </c>
      <c r="AP135" s="11"/>
      <c r="AQ135" s="11"/>
      <c r="AR135" s="11"/>
      <c r="AS135" s="11"/>
      <c r="AT135" s="11"/>
      <c r="AU135" s="11">
        <f t="shared" si="172"/>
        <v>406238.93</v>
      </c>
      <c r="AV135" s="11"/>
      <c r="AW135" s="11"/>
      <c r="AX135" s="11"/>
      <c r="AY135" s="11"/>
      <c r="AZ135" s="11"/>
      <c r="BA135" s="11">
        <f t="shared" si="165"/>
        <v>406238.93</v>
      </c>
      <c r="BB135" s="11"/>
      <c r="BC135" s="11"/>
      <c r="BD135" s="11"/>
      <c r="BE135" s="11"/>
      <c r="BF135" s="11"/>
      <c r="BG135" s="11">
        <f t="shared" si="166"/>
        <v>406238.93</v>
      </c>
      <c r="BH135" s="11"/>
      <c r="BI135" s="11"/>
      <c r="BJ135" s="11"/>
      <c r="BK135" s="11"/>
      <c r="BL135" s="11"/>
      <c r="BM135" s="11">
        <f t="shared" si="167"/>
        <v>406238.93</v>
      </c>
      <c r="BN135" s="11"/>
      <c r="BO135" s="11"/>
      <c r="BP135" s="11"/>
      <c r="BQ135" s="11"/>
      <c r="BR135" s="11"/>
      <c r="BS135" s="11">
        <f t="shared" si="168"/>
        <v>406238.93</v>
      </c>
      <c r="BT135" s="11"/>
      <c r="BU135" s="11"/>
      <c r="BV135" s="11"/>
      <c r="BW135" s="87"/>
      <c r="BX135" s="11"/>
      <c r="BY135" s="11">
        <f t="shared" si="169"/>
        <v>406238.93</v>
      </c>
      <c r="BZ135" s="11"/>
      <c r="CA135" s="11"/>
      <c r="CB135" s="11"/>
      <c r="CC135" s="11">
        <f t="shared" si="170"/>
        <v>406238.93</v>
      </c>
      <c r="CD135" s="11"/>
    </row>
    <row r="136" spans="1:84">
      <c r="A136" s="12" t="s">
        <v>49</v>
      </c>
      <c r="B136" s="24"/>
      <c r="C136" s="24"/>
      <c r="D136" s="24"/>
      <c r="E136" s="11"/>
      <c r="F136" s="11"/>
      <c r="G136" s="11">
        <v>0</v>
      </c>
      <c r="H136" s="11"/>
      <c r="I136" s="11"/>
      <c r="J136" s="11"/>
      <c r="K136" s="11">
        <f t="shared" si="160"/>
        <v>0</v>
      </c>
      <c r="L136" s="11"/>
      <c r="M136" s="11">
        <v>0</v>
      </c>
      <c r="N136" s="11"/>
      <c r="O136" s="11"/>
      <c r="P136" s="11"/>
      <c r="Q136" s="11">
        <f t="shared" si="171"/>
        <v>0</v>
      </c>
      <c r="R136" s="11"/>
      <c r="S136" s="11">
        <v>0</v>
      </c>
      <c r="T136" s="11"/>
      <c r="U136" s="11"/>
      <c r="V136" s="11"/>
      <c r="W136" s="11">
        <f t="shared" si="161"/>
        <v>0</v>
      </c>
      <c r="X136" s="11"/>
      <c r="Y136" s="11">
        <v>14970</v>
      </c>
      <c r="Z136" s="11"/>
      <c r="AA136" s="11"/>
      <c r="AB136" s="11"/>
      <c r="AC136" s="11">
        <f t="shared" si="162"/>
        <v>14970</v>
      </c>
      <c r="AD136" s="11"/>
      <c r="AE136" s="11">
        <v>110000</v>
      </c>
      <c r="AF136" s="168"/>
      <c r="AG136" s="11"/>
      <c r="AH136" s="11"/>
      <c r="AI136" s="11">
        <f t="shared" si="163"/>
        <v>124970</v>
      </c>
      <c r="AJ136" s="11"/>
      <c r="AK136" s="11"/>
      <c r="AL136" s="11"/>
      <c r="AM136" s="11"/>
      <c r="AN136" s="11"/>
      <c r="AO136" s="11">
        <f t="shared" si="164"/>
        <v>124970</v>
      </c>
      <c r="AP136" s="11"/>
      <c r="AQ136" s="11"/>
      <c r="AR136" s="11"/>
      <c r="AS136" s="11"/>
      <c r="AT136" s="11"/>
      <c r="AU136" s="11">
        <f t="shared" si="172"/>
        <v>124970</v>
      </c>
      <c r="AV136" s="11"/>
      <c r="AW136" s="11"/>
      <c r="AX136" s="11"/>
      <c r="AY136" s="11"/>
      <c r="AZ136" s="11"/>
      <c r="BA136" s="11">
        <f t="shared" si="165"/>
        <v>124970</v>
      </c>
      <c r="BB136" s="11"/>
      <c r="BC136" s="11"/>
      <c r="BD136" s="11"/>
      <c r="BE136" s="11"/>
      <c r="BF136" s="11"/>
      <c r="BG136" s="11">
        <f t="shared" si="166"/>
        <v>124970</v>
      </c>
      <c r="BH136" s="11"/>
      <c r="BI136" s="11"/>
      <c r="BJ136" s="11"/>
      <c r="BK136" s="11"/>
      <c r="BL136" s="11"/>
      <c r="BM136" s="11">
        <f t="shared" si="167"/>
        <v>124970</v>
      </c>
      <c r="BN136" s="11"/>
      <c r="BO136" s="11"/>
      <c r="BP136" s="11"/>
      <c r="BQ136" s="11"/>
      <c r="BR136" s="11"/>
      <c r="BS136" s="11">
        <f t="shared" si="168"/>
        <v>124970</v>
      </c>
      <c r="BT136" s="11"/>
      <c r="BU136" s="11"/>
      <c r="BV136" s="11"/>
      <c r="BW136" s="87"/>
      <c r="BX136" s="11"/>
      <c r="BY136" s="11">
        <f t="shared" si="169"/>
        <v>124970</v>
      </c>
      <c r="BZ136" s="11"/>
      <c r="CA136" s="11"/>
      <c r="CB136" s="11"/>
      <c r="CC136" s="11">
        <f t="shared" si="170"/>
        <v>124970</v>
      </c>
      <c r="CD136" s="11"/>
    </row>
    <row r="137" spans="1:84">
      <c r="A137" s="12" t="s">
        <v>10</v>
      </c>
      <c r="B137" s="24"/>
      <c r="C137" s="24"/>
      <c r="D137" s="24"/>
      <c r="E137" s="11"/>
      <c r="F137" s="11"/>
      <c r="G137" s="11">
        <v>0</v>
      </c>
      <c r="H137" s="11"/>
      <c r="I137" s="11"/>
      <c r="J137" s="11"/>
      <c r="K137" s="11">
        <f t="shared" si="160"/>
        <v>0</v>
      </c>
      <c r="L137" s="11"/>
      <c r="M137" s="11">
        <v>0</v>
      </c>
      <c r="N137" s="11"/>
      <c r="O137" s="11"/>
      <c r="P137" s="11"/>
      <c r="Q137" s="11">
        <f t="shared" si="171"/>
        <v>0</v>
      </c>
      <c r="R137" s="11"/>
      <c r="S137" s="11">
        <v>0</v>
      </c>
      <c r="T137" s="11"/>
      <c r="U137" s="11"/>
      <c r="V137" s="11"/>
      <c r="W137" s="11">
        <f t="shared" si="161"/>
        <v>0</v>
      </c>
      <c r="X137" s="11"/>
      <c r="Y137" s="11">
        <v>15000</v>
      </c>
      <c r="Z137" s="11"/>
      <c r="AA137" s="11"/>
      <c r="AB137" s="11"/>
      <c r="AC137" s="11">
        <f t="shared" si="162"/>
        <v>15000</v>
      </c>
      <c r="AD137" s="11"/>
      <c r="AE137" s="11">
        <v>0</v>
      </c>
      <c r="AF137" s="168"/>
      <c r="AG137" s="11"/>
      <c r="AH137" s="11"/>
      <c r="AI137" s="11">
        <f t="shared" si="163"/>
        <v>15000</v>
      </c>
      <c r="AJ137" s="11"/>
      <c r="AK137" s="11"/>
      <c r="AL137" s="11"/>
      <c r="AM137" s="11"/>
      <c r="AN137" s="11"/>
      <c r="AO137" s="11">
        <f t="shared" si="164"/>
        <v>15000</v>
      </c>
      <c r="AP137" s="11"/>
      <c r="AQ137" s="11"/>
      <c r="AR137" s="11"/>
      <c r="AS137" s="11"/>
      <c r="AT137" s="11"/>
      <c r="AU137" s="11">
        <f t="shared" si="172"/>
        <v>15000</v>
      </c>
      <c r="AV137" s="11"/>
      <c r="AW137" s="11"/>
      <c r="AX137" s="11"/>
      <c r="AY137" s="11"/>
      <c r="AZ137" s="11"/>
      <c r="BA137" s="11">
        <f t="shared" si="165"/>
        <v>15000</v>
      </c>
      <c r="BB137" s="11"/>
      <c r="BC137" s="11"/>
      <c r="BD137" s="11"/>
      <c r="BE137" s="11"/>
      <c r="BF137" s="11"/>
      <c r="BG137" s="11">
        <f t="shared" si="166"/>
        <v>15000</v>
      </c>
      <c r="BH137" s="11"/>
      <c r="BI137" s="11"/>
      <c r="BJ137" s="11"/>
      <c r="BK137" s="11"/>
      <c r="BL137" s="11"/>
      <c r="BM137" s="11">
        <f t="shared" si="167"/>
        <v>15000</v>
      </c>
      <c r="BN137" s="11"/>
      <c r="BO137" s="11"/>
      <c r="BP137" s="11"/>
      <c r="BQ137" s="11"/>
      <c r="BR137" s="11"/>
      <c r="BS137" s="11">
        <f t="shared" si="168"/>
        <v>15000</v>
      </c>
      <c r="BT137" s="11"/>
      <c r="BU137" s="11"/>
      <c r="BV137" s="11"/>
      <c r="BW137" s="87"/>
      <c r="BX137" s="11"/>
      <c r="BY137" s="11">
        <f t="shared" si="169"/>
        <v>15000</v>
      </c>
      <c r="BZ137" s="11"/>
      <c r="CA137" s="11"/>
      <c r="CB137" s="11"/>
      <c r="CC137" s="11">
        <f t="shared" si="170"/>
        <v>15000</v>
      </c>
      <c r="CD137" s="11"/>
    </row>
    <row r="138" spans="1:84">
      <c r="A138" s="12" t="s">
        <v>12</v>
      </c>
      <c r="B138" s="24"/>
      <c r="C138" s="24"/>
      <c r="D138" s="24"/>
      <c r="E138" s="11"/>
      <c r="F138" s="11"/>
      <c r="G138" s="11">
        <v>0</v>
      </c>
      <c r="H138" s="11"/>
      <c r="I138" s="11"/>
      <c r="J138" s="11"/>
      <c r="K138" s="11">
        <f t="shared" si="160"/>
        <v>0</v>
      </c>
      <c r="L138" s="11"/>
      <c r="M138" s="11">
        <v>0</v>
      </c>
      <c r="N138" s="11"/>
      <c r="O138" s="11"/>
      <c r="P138" s="11"/>
      <c r="Q138" s="11">
        <f t="shared" si="171"/>
        <v>0</v>
      </c>
      <c r="R138" s="11"/>
      <c r="S138" s="11">
        <v>0</v>
      </c>
      <c r="T138" s="11"/>
      <c r="U138" s="11"/>
      <c r="V138" s="11"/>
      <c r="W138" s="11">
        <f t="shared" si="161"/>
        <v>0</v>
      </c>
      <c r="X138" s="11"/>
      <c r="Y138" s="11">
        <v>0</v>
      </c>
      <c r="Z138" s="11"/>
      <c r="AA138" s="11"/>
      <c r="AB138" s="11"/>
      <c r="AC138" s="11">
        <f t="shared" si="162"/>
        <v>0</v>
      </c>
      <c r="AD138" s="11"/>
      <c r="AE138" s="11">
        <v>0</v>
      </c>
      <c r="AF138" s="168"/>
      <c r="AG138" s="11"/>
      <c r="AH138" s="11"/>
      <c r="AI138" s="11">
        <f t="shared" si="163"/>
        <v>0</v>
      </c>
      <c r="AJ138" s="11"/>
      <c r="AK138" s="11"/>
      <c r="AL138" s="11"/>
      <c r="AM138" s="11"/>
      <c r="AN138" s="11"/>
      <c r="AO138" s="11">
        <f t="shared" si="164"/>
        <v>0</v>
      </c>
      <c r="AP138" s="11"/>
      <c r="AQ138" s="11">
        <v>0</v>
      </c>
      <c r="AR138" s="11"/>
      <c r="AS138" s="11"/>
      <c r="AT138" s="11"/>
      <c r="AU138" s="11">
        <f t="shared" si="172"/>
        <v>0</v>
      </c>
      <c r="AV138" s="11"/>
      <c r="AW138" s="11"/>
      <c r="AX138" s="11"/>
      <c r="AY138" s="11"/>
      <c r="AZ138" s="11"/>
      <c r="BA138" s="11">
        <f t="shared" si="165"/>
        <v>0</v>
      </c>
      <c r="BB138" s="11"/>
      <c r="BC138" s="11"/>
      <c r="BD138" s="11"/>
      <c r="BE138" s="11"/>
      <c r="BF138" s="11"/>
      <c r="BG138" s="11">
        <f t="shared" si="166"/>
        <v>0</v>
      </c>
      <c r="BH138" s="11"/>
      <c r="BI138" s="11">
        <v>0</v>
      </c>
      <c r="BJ138" s="11"/>
      <c r="BK138" s="11"/>
      <c r="BL138" s="11"/>
      <c r="BM138" s="11">
        <f t="shared" si="167"/>
        <v>0</v>
      </c>
      <c r="BN138" s="11"/>
      <c r="BO138" s="11"/>
      <c r="BP138" s="11"/>
      <c r="BQ138" s="11"/>
      <c r="BR138" s="11"/>
      <c r="BS138" s="11">
        <f t="shared" si="168"/>
        <v>0</v>
      </c>
      <c r="BT138" s="11"/>
      <c r="BU138" s="11"/>
      <c r="BV138" s="11"/>
      <c r="BW138" s="11"/>
      <c r="BX138" s="11"/>
      <c r="BY138" s="11">
        <f t="shared" si="169"/>
        <v>0</v>
      </c>
      <c r="BZ138" s="11"/>
      <c r="CA138" s="11"/>
      <c r="CB138" s="11"/>
      <c r="CC138" s="11">
        <f t="shared" si="170"/>
        <v>0</v>
      </c>
      <c r="CD138" s="11"/>
    </row>
    <row r="139" spans="1:84">
      <c r="A139" s="12" t="s">
        <v>13</v>
      </c>
      <c r="B139" s="24"/>
      <c r="C139" s="24"/>
      <c r="D139" s="24"/>
      <c r="E139" s="11"/>
      <c r="F139" s="11"/>
      <c r="G139" s="11">
        <v>7000</v>
      </c>
      <c r="H139" s="11"/>
      <c r="I139" s="11"/>
      <c r="J139" s="11"/>
      <c r="K139" s="11">
        <f t="shared" si="160"/>
        <v>7000</v>
      </c>
      <c r="L139" s="11"/>
      <c r="M139" s="11">
        <v>975000</v>
      </c>
      <c r="N139" s="11"/>
      <c r="O139" s="11"/>
      <c r="P139" s="11"/>
      <c r="Q139" s="11">
        <f t="shared" si="171"/>
        <v>982000</v>
      </c>
      <c r="R139" s="11"/>
      <c r="S139" s="11">
        <v>0</v>
      </c>
      <c r="T139" s="11"/>
      <c r="U139" s="11"/>
      <c r="V139" s="11"/>
      <c r="W139" s="11">
        <f t="shared" si="161"/>
        <v>982000</v>
      </c>
      <c r="X139" s="11"/>
      <c r="Y139" s="11">
        <v>955000</v>
      </c>
      <c r="Z139" s="11"/>
      <c r="AA139" s="11"/>
      <c r="AB139" s="11"/>
      <c r="AC139" s="11">
        <f t="shared" si="162"/>
        <v>1937000</v>
      </c>
      <c r="AD139" s="11"/>
      <c r="AE139" s="11">
        <v>51000</v>
      </c>
      <c r="AF139" s="11"/>
      <c r="AG139" s="11"/>
      <c r="AH139" s="11"/>
      <c r="AI139" s="11">
        <f t="shared" si="163"/>
        <v>1988000</v>
      </c>
      <c r="AJ139" s="11"/>
      <c r="AK139" s="11"/>
      <c r="AL139" s="11"/>
      <c r="AM139" s="11"/>
      <c r="AN139" s="11"/>
      <c r="AO139" s="11">
        <f t="shared" si="164"/>
        <v>1988000</v>
      </c>
      <c r="AP139" s="11"/>
      <c r="AQ139" s="11">
        <v>0</v>
      </c>
      <c r="AR139" s="11"/>
      <c r="AS139" s="11"/>
      <c r="AT139" s="11"/>
      <c r="AU139" s="11">
        <f t="shared" si="172"/>
        <v>1988000</v>
      </c>
      <c r="AV139" s="11"/>
      <c r="AW139" s="11"/>
      <c r="AX139" s="11"/>
      <c r="AY139" s="11"/>
      <c r="AZ139" s="11"/>
      <c r="BA139" s="11">
        <f t="shared" si="165"/>
        <v>1988000</v>
      </c>
      <c r="BB139" s="11"/>
      <c r="BC139" s="11">
        <v>0</v>
      </c>
      <c r="BD139" s="11"/>
      <c r="BE139" s="11"/>
      <c r="BF139" s="11"/>
      <c r="BG139" s="11">
        <f>SUM(BA139+BC139-BD139+BE139-BF139)</f>
        <v>1988000</v>
      </c>
      <c r="BH139" s="11"/>
      <c r="BI139" s="11">
        <v>0</v>
      </c>
      <c r="BJ139" s="11"/>
      <c r="BK139" s="11"/>
      <c r="BL139" s="11"/>
      <c r="BM139" s="11">
        <f t="shared" si="167"/>
        <v>1988000</v>
      </c>
      <c r="BN139" s="11"/>
      <c r="BO139" s="11"/>
      <c r="BP139" s="11"/>
      <c r="BQ139" s="11"/>
      <c r="BR139" s="11"/>
      <c r="BS139" s="11">
        <f t="shared" si="168"/>
        <v>1988000</v>
      </c>
      <c r="BT139" s="11"/>
      <c r="BU139" s="11"/>
      <c r="BV139" s="11"/>
      <c r="BW139" s="11"/>
      <c r="BX139" s="11"/>
      <c r="BY139" s="11">
        <f t="shared" si="169"/>
        <v>1988000</v>
      </c>
      <c r="BZ139" s="11"/>
      <c r="CA139" s="11"/>
      <c r="CB139" s="11"/>
      <c r="CC139" s="11">
        <f t="shared" si="170"/>
        <v>1988000</v>
      </c>
      <c r="CD139" s="11"/>
    </row>
    <row r="140" spans="1:84">
      <c r="A140" s="12"/>
      <c r="B140" s="24"/>
      <c r="C140" s="24"/>
      <c r="D140" s="24"/>
      <c r="E140" s="11"/>
      <c r="F140" s="11"/>
      <c r="G140" s="11"/>
      <c r="H140" s="11"/>
      <c r="I140" s="11"/>
      <c r="J140" s="11"/>
      <c r="K140" s="11">
        <f t="shared" si="160"/>
        <v>0</v>
      </c>
      <c r="L140" s="11"/>
      <c r="M140" s="11"/>
      <c r="N140" s="11"/>
      <c r="O140" s="11"/>
      <c r="P140" s="11"/>
      <c r="Q140" s="11">
        <f t="shared" si="171"/>
        <v>0</v>
      </c>
      <c r="R140" s="11"/>
      <c r="S140" s="11"/>
      <c r="T140" s="11"/>
      <c r="U140" s="11"/>
      <c r="V140" s="11"/>
      <c r="W140" s="11">
        <f t="shared" si="161"/>
        <v>0</v>
      </c>
      <c r="X140" s="11"/>
      <c r="Y140" s="11"/>
      <c r="Z140" s="11"/>
      <c r="AA140" s="11"/>
      <c r="AB140" s="11"/>
      <c r="AC140" s="11">
        <f t="shared" si="162"/>
        <v>0</v>
      </c>
      <c r="AD140" s="11"/>
      <c r="AE140" s="11"/>
      <c r="AF140" s="168"/>
      <c r="AG140" s="11"/>
      <c r="AH140" s="11"/>
      <c r="AI140" s="11">
        <f t="shared" si="163"/>
        <v>0</v>
      </c>
      <c r="AJ140" s="11"/>
      <c r="AK140" s="11"/>
      <c r="AL140" s="11"/>
      <c r="AM140" s="11"/>
      <c r="AN140" s="11"/>
      <c r="AO140" s="11">
        <f t="shared" si="164"/>
        <v>0</v>
      </c>
      <c r="AP140" s="11"/>
      <c r="AQ140" s="11"/>
      <c r="AR140" s="11"/>
      <c r="AS140" s="11"/>
      <c r="AT140" s="11"/>
      <c r="AU140" s="11">
        <f t="shared" si="172"/>
        <v>0</v>
      </c>
      <c r="AV140" s="11"/>
      <c r="AW140" s="11"/>
      <c r="AX140" s="11"/>
      <c r="AY140" s="11"/>
      <c r="AZ140" s="11"/>
      <c r="BA140" s="11">
        <f t="shared" si="165"/>
        <v>0</v>
      </c>
      <c r="BB140" s="11"/>
      <c r="BC140" s="11"/>
      <c r="BD140" s="11"/>
      <c r="BE140" s="11"/>
      <c r="BF140" s="11"/>
      <c r="BG140" s="11">
        <f t="shared" si="166"/>
        <v>0</v>
      </c>
      <c r="BH140" s="11"/>
      <c r="BI140" s="11"/>
      <c r="BJ140" s="11"/>
      <c r="BK140" s="11"/>
      <c r="BL140" s="11"/>
      <c r="BM140" s="11">
        <f t="shared" si="167"/>
        <v>0</v>
      </c>
      <c r="BN140" s="11"/>
      <c r="BO140" s="11">
        <v>0</v>
      </c>
      <c r="BP140" s="11"/>
      <c r="BQ140" s="11"/>
      <c r="BR140" s="11"/>
      <c r="BS140" s="11">
        <f>SUM(BM140+BO140-BP140+BQ140-BR140)</f>
        <v>0</v>
      </c>
      <c r="BT140" s="11"/>
      <c r="BU140" s="11"/>
      <c r="BV140" s="11"/>
      <c r="BW140" s="11"/>
      <c r="BX140" s="11"/>
      <c r="BY140" s="11">
        <f t="shared" si="169"/>
        <v>0</v>
      </c>
      <c r="BZ140" s="11"/>
      <c r="CA140" s="11"/>
      <c r="CB140" s="11"/>
      <c r="CC140" s="11">
        <f>SUM(BW140+BY140-BZ140+CA140-CB140)</f>
        <v>0</v>
      </c>
      <c r="CD140" s="11"/>
    </row>
    <row r="141" spans="1:84">
      <c r="A141" s="12"/>
      <c r="B141" s="24"/>
      <c r="C141" s="24"/>
      <c r="D141" s="24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68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</row>
    <row r="142" spans="1:84">
      <c r="A142" s="12"/>
      <c r="B142" s="24"/>
      <c r="C142" s="24"/>
      <c r="D142" s="24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68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</row>
    <row r="143" spans="1:84" s="236" customFormat="1">
      <c r="A143" s="251" t="s">
        <v>308</v>
      </c>
      <c r="B143" s="252"/>
      <c r="C143" s="252"/>
      <c r="D143" s="252"/>
      <c r="E143" s="235">
        <f t="shared" ref="E143:AJ143" si="173">SUM(E144,E151:E157)</f>
        <v>0</v>
      </c>
      <c r="F143" s="235">
        <f t="shared" si="173"/>
        <v>0</v>
      </c>
      <c r="G143" s="235">
        <f t="shared" si="173"/>
        <v>0</v>
      </c>
      <c r="H143" s="235">
        <f t="shared" si="173"/>
        <v>0</v>
      </c>
      <c r="I143" s="235">
        <f t="shared" si="173"/>
        <v>0</v>
      </c>
      <c r="J143" s="235">
        <f t="shared" si="173"/>
        <v>0</v>
      </c>
      <c r="K143" s="235">
        <f t="shared" si="173"/>
        <v>0</v>
      </c>
      <c r="L143" s="235">
        <f t="shared" si="173"/>
        <v>0</v>
      </c>
      <c r="M143" s="235">
        <f>SUM(M144,M151:M157)</f>
        <v>120130.33</v>
      </c>
      <c r="N143" s="235">
        <f t="shared" si="173"/>
        <v>0</v>
      </c>
      <c r="O143" s="235">
        <f t="shared" si="173"/>
        <v>2059580</v>
      </c>
      <c r="P143" s="235">
        <f t="shared" si="173"/>
        <v>0</v>
      </c>
      <c r="Q143" s="235">
        <f>SUM(Q144,Q151:Q160)</f>
        <v>2179710.33</v>
      </c>
      <c r="R143" s="235">
        <f t="shared" si="173"/>
        <v>0</v>
      </c>
      <c r="S143" s="235">
        <f t="shared" si="173"/>
        <v>284480</v>
      </c>
      <c r="T143" s="235">
        <f t="shared" si="173"/>
        <v>0</v>
      </c>
      <c r="U143" s="235">
        <f t="shared" si="173"/>
        <v>808600</v>
      </c>
      <c r="V143" s="235">
        <f t="shared" si="173"/>
        <v>0</v>
      </c>
      <c r="W143" s="235">
        <f>SUM(W144,W151:W157)</f>
        <v>3272790.33</v>
      </c>
      <c r="X143" s="235">
        <f t="shared" si="173"/>
        <v>0</v>
      </c>
      <c r="Y143" s="235">
        <f t="shared" si="173"/>
        <v>310900</v>
      </c>
      <c r="Z143" s="235">
        <f t="shared" si="173"/>
        <v>0</v>
      </c>
      <c r="AA143" s="235">
        <f t="shared" si="173"/>
        <v>803200</v>
      </c>
      <c r="AB143" s="235">
        <f t="shared" si="173"/>
        <v>0</v>
      </c>
      <c r="AC143" s="235">
        <f>SUM(AC144,AC151:AC160)</f>
        <v>4386890.33</v>
      </c>
      <c r="AD143" s="235">
        <f t="shared" si="173"/>
        <v>0</v>
      </c>
      <c r="AE143" s="235">
        <f t="shared" si="173"/>
        <v>292310</v>
      </c>
      <c r="AF143" s="253">
        <f t="shared" si="173"/>
        <v>0</v>
      </c>
      <c r="AG143" s="235">
        <f t="shared" si="173"/>
        <v>832200</v>
      </c>
      <c r="AH143" s="235">
        <f t="shared" si="173"/>
        <v>0</v>
      </c>
      <c r="AI143" s="235">
        <f t="shared" si="173"/>
        <v>5511400.3300000001</v>
      </c>
      <c r="AJ143" s="235">
        <f t="shared" si="173"/>
        <v>0</v>
      </c>
      <c r="AK143" s="235">
        <f>SUM(AK144,AK151:AK160)</f>
        <v>0</v>
      </c>
      <c r="AL143" s="235">
        <f t="shared" ref="AL143:BP143" si="174">SUM(AL144,AL151:AL157)</f>
        <v>0</v>
      </c>
      <c r="AM143" s="235">
        <f t="shared" si="174"/>
        <v>0</v>
      </c>
      <c r="AN143" s="235">
        <f t="shared" si="174"/>
        <v>0</v>
      </c>
      <c r="AO143" s="235">
        <f>SUM(AO144,AO151:AO162)</f>
        <v>5511400.3300000001</v>
      </c>
      <c r="AP143" s="235">
        <f t="shared" si="174"/>
        <v>0</v>
      </c>
      <c r="AQ143" s="235">
        <f>SUM(AQ144,AQ151:AQ160)</f>
        <v>0</v>
      </c>
      <c r="AR143" s="235">
        <f>SUM(AR144,AR151:AR160)</f>
        <v>0</v>
      </c>
      <c r="AS143" s="235">
        <f t="shared" si="174"/>
        <v>0</v>
      </c>
      <c r="AT143" s="235">
        <f t="shared" si="174"/>
        <v>0</v>
      </c>
      <c r="AU143" s="235">
        <f>SUM(AU144,AU151:AU160)</f>
        <v>5511400.3300000001</v>
      </c>
      <c r="AV143" s="235">
        <f t="shared" ref="AV143:BB143" si="175">SUM(AV144,AV151:AV162)</f>
        <v>0</v>
      </c>
      <c r="AW143" s="235">
        <f>SUM(AW144,AW151:AW160)</f>
        <v>0</v>
      </c>
      <c r="AX143" s="235">
        <f t="shared" si="175"/>
        <v>0</v>
      </c>
      <c r="AY143" s="235">
        <f t="shared" si="175"/>
        <v>0</v>
      </c>
      <c r="AZ143" s="235">
        <f t="shared" si="175"/>
        <v>0</v>
      </c>
      <c r="BA143" s="235">
        <f>SUM(BA144,BA151:BA160)</f>
        <v>5511400.3300000001</v>
      </c>
      <c r="BB143" s="235">
        <f t="shared" si="175"/>
        <v>0</v>
      </c>
      <c r="BC143" s="235">
        <f t="shared" si="174"/>
        <v>0</v>
      </c>
      <c r="BD143" s="235">
        <f t="shared" si="174"/>
        <v>0</v>
      </c>
      <c r="BE143" s="235">
        <f t="shared" si="174"/>
        <v>0</v>
      </c>
      <c r="BF143" s="235">
        <f t="shared" si="174"/>
        <v>0</v>
      </c>
      <c r="BG143" s="235">
        <f>SUM(BG144,BG151:BG160)</f>
        <v>5511400.3300000001</v>
      </c>
      <c r="BH143" s="235">
        <f t="shared" si="174"/>
        <v>0</v>
      </c>
      <c r="BI143" s="235">
        <f>SUM(BI144,BI151:BI157)</f>
        <v>0</v>
      </c>
      <c r="BJ143" s="235">
        <f t="shared" si="174"/>
        <v>0</v>
      </c>
      <c r="BK143" s="235">
        <f t="shared" si="174"/>
        <v>0</v>
      </c>
      <c r="BL143" s="235">
        <f t="shared" si="174"/>
        <v>0</v>
      </c>
      <c r="BM143" s="235">
        <f>SUM(BM144,BM151:BM160)</f>
        <v>5511400.3300000001</v>
      </c>
      <c r="BN143" s="235">
        <f t="shared" si="174"/>
        <v>0</v>
      </c>
      <c r="BO143" s="235">
        <f t="shared" si="174"/>
        <v>0</v>
      </c>
      <c r="BP143" s="235">
        <f t="shared" si="174"/>
        <v>0</v>
      </c>
      <c r="BQ143" s="235">
        <f t="shared" ref="BQ143:BT143" si="176">SUM(BQ144,BQ151:BQ157)</f>
        <v>0</v>
      </c>
      <c r="BR143" s="235">
        <f t="shared" si="176"/>
        <v>0</v>
      </c>
      <c r="BS143" s="235">
        <f>SUM(BS144,BS151:BS160)</f>
        <v>5511400.3300000001</v>
      </c>
      <c r="BT143" s="235">
        <f t="shared" si="176"/>
        <v>0</v>
      </c>
      <c r="BU143" s="235">
        <f t="shared" ref="BU143:CD143" si="177">SUM(BU144,BU151:BU160)</f>
        <v>0</v>
      </c>
      <c r="BV143" s="235">
        <f t="shared" si="177"/>
        <v>0</v>
      </c>
      <c r="BW143" s="235">
        <f t="shared" si="177"/>
        <v>0</v>
      </c>
      <c r="BX143" s="235">
        <f t="shared" si="177"/>
        <v>0</v>
      </c>
      <c r="BY143" s="235">
        <f>SUM(BY144,BY151:BY162)</f>
        <v>5511400.3300000001</v>
      </c>
      <c r="BZ143" s="235">
        <f t="shared" si="177"/>
        <v>0</v>
      </c>
      <c r="CA143" s="229">
        <f t="shared" si="177"/>
        <v>0</v>
      </c>
      <c r="CB143" s="229">
        <f t="shared" si="177"/>
        <v>0</v>
      </c>
      <c r="CC143" s="235">
        <f>SUM(CC144,CC151:CC162)</f>
        <v>5511400.3300000001</v>
      </c>
      <c r="CD143" s="235">
        <f t="shared" si="177"/>
        <v>0</v>
      </c>
      <c r="CE143" s="254"/>
      <c r="CF143" s="254"/>
    </row>
    <row r="144" spans="1:84" s="27" customFormat="1">
      <c r="A144" s="8" t="s">
        <v>304</v>
      </c>
      <c r="B144" s="29"/>
      <c r="C144" s="29"/>
      <c r="D144" s="29"/>
      <c r="E144" s="9">
        <f>SUM(E145:E150)</f>
        <v>0</v>
      </c>
      <c r="F144" s="9">
        <f t="shared" ref="F144:BN144" si="178">SUM(F145:F150)</f>
        <v>0</v>
      </c>
      <c r="G144" s="9">
        <f t="shared" si="178"/>
        <v>0</v>
      </c>
      <c r="H144" s="9">
        <f t="shared" si="178"/>
        <v>0</v>
      </c>
      <c r="I144" s="9">
        <f t="shared" si="178"/>
        <v>0</v>
      </c>
      <c r="J144" s="9">
        <f t="shared" si="178"/>
        <v>0</v>
      </c>
      <c r="K144" s="9">
        <f>SUM(K145:K150)</f>
        <v>0</v>
      </c>
      <c r="L144" s="9">
        <f t="shared" si="178"/>
        <v>0</v>
      </c>
      <c r="M144" s="9">
        <f>SUM(M145:M150)</f>
        <v>1357</v>
      </c>
      <c r="N144" s="9">
        <f t="shared" si="178"/>
        <v>0</v>
      </c>
      <c r="O144" s="9">
        <f t="shared" si="178"/>
        <v>1945140</v>
      </c>
      <c r="P144" s="9">
        <f t="shared" si="178"/>
        <v>0</v>
      </c>
      <c r="Q144" s="9">
        <f>SUM(Q145:Q150)</f>
        <v>1946497</v>
      </c>
      <c r="R144" s="9">
        <f t="shared" si="178"/>
        <v>0</v>
      </c>
      <c r="S144" s="9">
        <f t="shared" si="178"/>
        <v>160040</v>
      </c>
      <c r="T144" s="9">
        <f t="shared" si="178"/>
        <v>0</v>
      </c>
      <c r="U144" s="9">
        <f t="shared" si="178"/>
        <v>808600</v>
      </c>
      <c r="V144" s="9">
        <f t="shared" si="178"/>
        <v>0</v>
      </c>
      <c r="W144" s="9">
        <f>SUM(W145:W150)</f>
        <v>2915137</v>
      </c>
      <c r="X144" s="9">
        <f t="shared" si="178"/>
        <v>0</v>
      </c>
      <c r="Y144" s="9">
        <f>SUM(Y145:Y150)</f>
        <v>163140</v>
      </c>
      <c r="Z144" s="9">
        <f>SUM(Z145:Z150)</f>
        <v>0</v>
      </c>
      <c r="AA144" s="9">
        <f>SUM(AA145:AA150)</f>
        <v>803200</v>
      </c>
      <c r="AB144" s="9">
        <f>SUM(AB145:AB150)</f>
        <v>0</v>
      </c>
      <c r="AC144" s="9">
        <f>SUM(AC145:AC150)</f>
        <v>3881477</v>
      </c>
      <c r="AD144" s="9">
        <f t="shared" si="178"/>
        <v>0</v>
      </c>
      <c r="AE144" s="9">
        <f>SUM(AE145:AE150)</f>
        <v>162040</v>
      </c>
      <c r="AF144" s="169">
        <f>SUM(AF145:AF150)</f>
        <v>0</v>
      </c>
      <c r="AG144" s="9">
        <f>SUM(AG145:AG150)</f>
        <v>832200</v>
      </c>
      <c r="AH144" s="9">
        <f>SUM(AH145:AH150)</f>
        <v>0</v>
      </c>
      <c r="AI144" s="9">
        <f>SUM(AI145:AI150)</f>
        <v>4875717</v>
      </c>
      <c r="AJ144" s="9">
        <f t="shared" ref="AJ144:AQ144" si="179">SUM(AJ145:AJ150)</f>
        <v>0</v>
      </c>
      <c r="AK144" s="9">
        <f>SUM(AK145:AK150)</f>
        <v>0</v>
      </c>
      <c r="AL144" s="9">
        <f t="shared" si="179"/>
        <v>0</v>
      </c>
      <c r="AM144" s="9">
        <f t="shared" si="179"/>
        <v>0</v>
      </c>
      <c r="AN144" s="9">
        <f t="shared" si="179"/>
        <v>0</v>
      </c>
      <c r="AO144" s="9">
        <f>SUM(AO145:AO150)</f>
        <v>4875717</v>
      </c>
      <c r="AP144" s="9">
        <f t="shared" si="179"/>
        <v>0</v>
      </c>
      <c r="AQ144" s="9">
        <f t="shared" si="179"/>
        <v>0</v>
      </c>
      <c r="AR144" s="9">
        <f t="shared" si="178"/>
        <v>0</v>
      </c>
      <c r="AS144" s="9">
        <f>SUM(AS145:AS150)</f>
        <v>0</v>
      </c>
      <c r="AT144" s="9">
        <f t="shared" si="178"/>
        <v>0</v>
      </c>
      <c r="AU144" s="9">
        <f>SUM(AU145:AU150)</f>
        <v>4875717</v>
      </c>
      <c r="AV144" s="9">
        <f t="shared" ref="AV144:AZ144" si="180">SUM(AV145:AV150)</f>
        <v>0</v>
      </c>
      <c r="AW144" s="9">
        <f t="shared" si="180"/>
        <v>0</v>
      </c>
      <c r="AX144" s="9">
        <f t="shared" si="180"/>
        <v>0</v>
      </c>
      <c r="AY144" s="9">
        <f t="shared" si="180"/>
        <v>0</v>
      </c>
      <c r="AZ144" s="9">
        <f t="shared" si="180"/>
        <v>0</v>
      </c>
      <c r="BA144" s="9">
        <f>SUM(BA145:BA150)</f>
        <v>4875717</v>
      </c>
      <c r="BB144" s="9">
        <f t="shared" ref="BB144" si="181">SUM(BB145:BB150)</f>
        <v>0</v>
      </c>
      <c r="BC144" s="9">
        <f t="shared" si="178"/>
        <v>0</v>
      </c>
      <c r="BD144" s="9">
        <f t="shared" si="178"/>
        <v>0</v>
      </c>
      <c r="BE144" s="9">
        <f>SUM(BE145:BE150)</f>
        <v>0</v>
      </c>
      <c r="BF144" s="9">
        <f t="shared" si="178"/>
        <v>0</v>
      </c>
      <c r="BG144" s="9">
        <f>SUM(BG145:BG150)</f>
        <v>4875717</v>
      </c>
      <c r="BH144" s="9">
        <f t="shared" ref="BH144:BL144" si="182">SUM(BH145:BH150)</f>
        <v>0</v>
      </c>
      <c r="BI144" s="9">
        <f>SUM(BI145:BI150)</f>
        <v>0</v>
      </c>
      <c r="BJ144" s="9">
        <f t="shared" si="182"/>
        <v>0</v>
      </c>
      <c r="BK144" s="9">
        <f t="shared" si="182"/>
        <v>0</v>
      </c>
      <c r="BL144" s="9">
        <f t="shared" si="182"/>
        <v>0</v>
      </c>
      <c r="BM144" s="9">
        <f>SUM(BM145:BM150)</f>
        <v>4875717</v>
      </c>
      <c r="BN144" s="9">
        <f t="shared" si="178"/>
        <v>0</v>
      </c>
      <c r="BO144" s="9">
        <f t="shared" ref="BO144:BT144" si="183">SUM(BO145:BO150)</f>
        <v>0</v>
      </c>
      <c r="BP144" s="9">
        <f t="shared" si="183"/>
        <v>0</v>
      </c>
      <c r="BQ144" s="9">
        <f t="shared" si="183"/>
        <v>0</v>
      </c>
      <c r="BR144" s="9">
        <f t="shared" si="183"/>
        <v>0</v>
      </c>
      <c r="BS144" s="9">
        <f>SUM(BS145:BS150)</f>
        <v>4875717</v>
      </c>
      <c r="BT144" s="9">
        <f t="shared" si="183"/>
        <v>0</v>
      </c>
      <c r="BU144" s="9">
        <f>SUM(BU145:BU147)</f>
        <v>0</v>
      </c>
      <c r="BV144" s="9">
        <f>SUM(BV145:BV147)</f>
        <v>0</v>
      </c>
      <c r="BW144" s="9">
        <f>SUM(BW145:BW148)</f>
        <v>0</v>
      </c>
      <c r="BX144" s="9">
        <f>SUM(BX145:BX147)</f>
        <v>0</v>
      </c>
      <c r="BY144" s="9">
        <f>SUM(BY145:BY148)</f>
        <v>4875717</v>
      </c>
      <c r="BZ144" s="9">
        <f t="shared" ref="BZ144:CD144" si="184">SUM(BZ145:BZ147)</f>
        <v>0</v>
      </c>
      <c r="CA144" s="9">
        <f>SUM(CA145:CA148)</f>
        <v>0</v>
      </c>
      <c r="CB144" s="9">
        <f>SUM(CB145:CB148)</f>
        <v>0</v>
      </c>
      <c r="CC144" s="9">
        <f>SUM(CC145:CC148)</f>
        <v>4875717</v>
      </c>
      <c r="CD144" s="9">
        <f t="shared" si="184"/>
        <v>0</v>
      </c>
      <c r="CE144" s="84"/>
      <c r="CF144" s="84"/>
    </row>
    <row r="145" spans="1:85">
      <c r="A145" s="31"/>
      <c r="B145" s="32" t="s">
        <v>231</v>
      </c>
      <c r="C145" s="32"/>
      <c r="D145" s="32"/>
      <c r="E145" s="33"/>
      <c r="F145" s="33"/>
      <c r="G145" s="33"/>
      <c r="H145" s="33"/>
      <c r="I145" s="33"/>
      <c r="J145" s="33"/>
      <c r="K145" s="33">
        <f>SUM(E145+G145-H145+I145-J145)</f>
        <v>0</v>
      </c>
      <c r="L145" s="33"/>
      <c r="M145" s="33"/>
      <c r="N145" s="33"/>
      <c r="O145" s="33">
        <f>825600+824000</f>
        <v>1649600</v>
      </c>
      <c r="P145" s="33"/>
      <c r="Q145" s="33">
        <f>SUM(K145+M145-N145+O145-P145)</f>
        <v>1649600</v>
      </c>
      <c r="R145" s="33"/>
      <c r="S145" s="33">
        <v>120800</v>
      </c>
      <c r="T145" s="33"/>
      <c r="U145" s="33">
        <v>699800</v>
      </c>
      <c r="V145" s="33"/>
      <c r="W145" s="33">
        <f t="shared" ref="W145:W161" si="185">SUM(Q145+S145-T145+U145-V145)</f>
        <v>2470200</v>
      </c>
      <c r="X145" s="33"/>
      <c r="Y145" s="33">
        <v>119900</v>
      </c>
      <c r="Z145" s="33"/>
      <c r="AA145" s="33">
        <v>699200</v>
      </c>
      <c r="AB145" s="33"/>
      <c r="AC145" s="33">
        <f>SUM(W145+Y145-Z145+AA145-AB145)</f>
        <v>3289300</v>
      </c>
      <c r="AD145" s="33"/>
      <c r="AE145" s="33">
        <v>118800</v>
      </c>
      <c r="AF145" s="170"/>
      <c r="AG145" s="33">
        <v>694800</v>
      </c>
      <c r="AH145" s="33"/>
      <c r="AI145" s="33">
        <f t="shared" ref="AI145:AI160" si="186">SUM(AC145+AE145-AF145+AG145-AH145)</f>
        <v>4102900</v>
      </c>
      <c r="AJ145" s="33"/>
      <c r="AK145" s="33"/>
      <c r="AL145" s="33"/>
      <c r="AM145" s="33"/>
      <c r="AN145" s="33"/>
      <c r="AO145" s="33">
        <f t="shared" ref="AO145:AO162" si="187">SUM(AI145+AK145-AL145+AM145-AN145)</f>
        <v>4102900</v>
      </c>
      <c r="AP145" s="33"/>
      <c r="AQ145" s="33"/>
      <c r="AR145" s="33"/>
      <c r="AS145" s="33"/>
      <c r="AT145" s="33"/>
      <c r="AU145" s="33">
        <f t="shared" ref="AU145:AU162" si="188">SUM(AO145+AQ145-AR145+AS145-AT145)</f>
        <v>4102900</v>
      </c>
      <c r="AV145" s="33"/>
      <c r="AW145" s="33"/>
      <c r="AX145" s="33"/>
      <c r="AY145" s="33"/>
      <c r="AZ145" s="33"/>
      <c r="BA145" s="33">
        <f t="shared" ref="BA145:BA160" si="189">SUM(AU145+AW145-AX145+AY145-AZ145)</f>
        <v>4102900</v>
      </c>
      <c r="BB145" s="33"/>
      <c r="BC145" s="33"/>
      <c r="BD145" s="33"/>
      <c r="BE145" s="33"/>
      <c r="BF145" s="33"/>
      <c r="BG145" s="33">
        <f t="shared" ref="BG145:BG162" si="190">SUM(BA145+BC145-BD145+BE145-BF145)</f>
        <v>4102900</v>
      </c>
      <c r="BH145" s="33"/>
      <c r="BI145" s="33"/>
      <c r="BJ145" s="33"/>
      <c r="BK145" s="33"/>
      <c r="BL145" s="33"/>
      <c r="BM145" s="33">
        <f>SUM(BG145+BI145-BJ145+BK145-BL145)</f>
        <v>4102900</v>
      </c>
      <c r="BN145" s="33"/>
      <c r="BO145" s="33"/>
      <c r="BP145" s="33"/>
      <c r="BQ145" s="33"/>
      <c r="BR145" s="33"/>
      <c r="BS145" s="33">
        <f t="shared" ref="BS145:BS162" si="191">SUM(BM145+BO145-BP145+BQ145-BR145)</f>
        <v>4102900</v>
      </c>
      <c r="BT145" s="33"/>
      <c r="BU145" s="33"/>
      <c r="BV145" s="33"/>
      <c r="BW145" s="33"/>
      <c r="BX145" s="33"/>
      <c r="BY145" s="33">
        <f t="shared" ref="BY145:BY162" si="192">SUM(BS145+BU145-BV145+BW145-BX145)</f>
        <v>4102900</v>
      </c>
      <c r="BZ145" s="33"/>
      <c r="CA145" s="33"/>
      <c r="CB145" s="33"/>
      <c r="CC145" s="13">
        <f>+BY145+CA145-BZ145-CB145</f>
        <v>4102900</v>
      </c>
      <c r="CD145" s="33"/>
    </row>
    <row r="146" spans="1:85">
      <c r="A146" s="34"/>
      <c r="B146" s="35" t="s">
        <v>102</v>
      </c>
      <c r="C146" s="35"/>
      <c r="D146" s="35"/>
      <c r="E146" s="36"/>
      <c r="F146" s="36"/>
      <c r="G146" s="36"/>
      <c r="H146" s="36"/>
      <c r="I146" s="36"/>
      <c r="J146" s="36"/>
      <c r="K146" s="36">
        <f>SUM(E146+G146-H146+I146-J146)</f>
        <v>0</v>
      </c>
      <c r="L146" s="36"/>
      <c r="M146" s="36"/>
      <c r="N146" s="36"/>
      <c r="O146" s="36">
        <f>147200+147200</f>
        <v>294400</v>
      </c>
      <c r="P146" s="36"/>
      <c r="Q146" s="36">
        <f>SUM(K146+M146-N146+O146-P146)</f>
        <v>294400</v>
      </c>
      <c r="R146" s="36"/>
      <c r="S146" s="36">
        <v>37600</v>
      </c>
      <c r="T146" s="36"/>
      <c r="U146" s="36">
        <f>107200+1600</f>
        <v>108800</v>
      </c>
      <c r="V146" s="36"/>
      <c r="W146" s="36">
        <f t="shared" si="185"/>
        <v>440800</v>
      </c>
      <c r="X146" s="36"/>
      <c r="Y146" s="36">
        <v>41600</v>
      </c>
      <c r="Z146" s="36"/>
      <c r="AA146" s="36">
        <v>104000</v>
      </c>
      <c r="AB146" s="36"/>
      <c r="AC146" s="36">
        <f t="shared" ref="AC146:AC160" si="193">SUM(W146+Y146-Z146+AA146-AB146)</f>
        <v>586400</v>
      </c>
      <c r="AD146" s="36"/>
      <c r="AE146" s="36">
        <v>41600</v>
      </c>
      <c r="AF146" s="171"/>
      <c r="AG146" s="36">
        <v>102400</v>
      </c>
      <c r="AH146" s="36"/>
      <c r="AI146" s="36">
        <f t="shared" si="186"/>
        <v>730400</v>
      </c>
      <c r="AJ146" s="36"/>
      <c r="AK146" s="36"/>
      <c r="AL146" s="36"/>
      <c r="AM146" s="36"/>
      <c r="AN146" s="36"/>
      <c r="AO146" s="36">
        <f t="shared" si="187"/>
        <v>730400</v>
      </c>
      <c r="AP146" s="36"/>
      <c r="AQ146" s="36"/>
      <c r="AR146" s="36"/>
      <c r="AS146" s="36"/>
      <c r="AT146" s="36"/>
      <c r="AU146" s="36">
        <f t="shared" si="188"/>
        <v>730400</v>
      </c>
      <c r="AV146" s="36"/>
      <c r="AW146" s="36"/>
      <c r="AX146" s="36"/>
      <c r="AY146" s="36"/>
      <c r="AZ146" s="36"/>
      <c r="BA146" s="36">
        <f t="shared" si="189"/>
        <v>730400</v>
      </c>
      <c r="BB146" s="36"/>
      <c r="BC146" s="36"/>
      <c r="BD146" s="36"/>
      <c r="BE146" s="36"/>
      <c r="BF146" s="36"/>
      <c r="BG146" s="36">
        <f t="shared" si="190"/>
        <v>730400</v>
      </c>
      <c r="BH146" s="36"/>
      <c r="BI146" s="36"/>
      <c r="BJ146" s="36"/>
      <c r="BK146" s="36"/>
      <c r="BL146" s="36"/>
      <c r="BM146" s="36">
        <f>SUM(BG146+BI146-BJ146+BK146-BL146)</f>
        <v>730400</v>
      </c>
      <c r="BN146" s="36"/>
      <c r="BO146" s="36"/>
      <c r="BP146" s="36"/>
      <c r="BQ146" s="36"/>
      <c r="BR146" s="36"/>
      <c r="BS146" s="36">
        <f t="shared" si="191"/>
        <v>730400</v>
      </c>
      <c r="BT146" s="36"/>
      <c r="BU146" s="36"/>
      <c r="BV146" s="36"/>
      <c r="BW146" s="36"/>
      <c r="BX146" s="36"/>
      <c r="BY146" s="36">
        <f t="shared" si="192"/>
        <v>730400</v>
      </c>
      <c r="BZ146" s="36"/>
      <c r="CA146" s="36"/>
      <c r="CB146" s="36"/>
      <c r="CC146" s="36">
        <f>+BY146+CA146-BZ146-CB146</f>
        <v>730400</v>
      </c>
      <c r="CD146" s="36"/>
    </row>
    <row r="147" spans="1:85">
      <c r="A147" s="66"/>
      <c r="B147" s="67" t="s">
        <v>104</v>
      </c>
      <c r="C147" s="67"/>
      <c r="D147" s="67"/>
      <c r="E147" s="51"/>
      <c r="F147" s="51"/>
      <c r="G147" s="51"/>
      <c r="H147" s="51"/>
      <c r="I147" s="51"/>
      <c r="J147" s="51"/>
      <c r="K147" s="51">
        <f>SUM(E147+G147-H147+I147-J147)</f>
        <v>0</v>
      </c>
      <c r="L147" s="51"/>
      <c r="M147" s="51">
        <v>1357</v>
      </c>
      <c r="N147" s="51"/>
      <c r="O147" s="51">
        <v>1140</v>
      </c>
      <c r="P147" s="51"/>
      <c r="Q147" s="51">
        <f>SUM(K147+M147-N147+O147-P147)</f>
        <v>2497</v>
      </c>
      <c r="R147" s="51"/>
      <c r="S147" s="51">
        <v>1640</v>
      </c>
      <c r="T147" s="51"/>
      <c r="U147" s="51"/>
      <c r="V147" s="51"/>
      <c r="W147" s="51">
        <f t="shared" si="185"/>
        <v>4137</v>
      </c>
      <c r="X147" s="51"/>
      <c r="Y147" s="51">
        <v>1640</v>
      </c>
      <c r="Z147" s="51"/>
      <c r="AA147" s="51"/>
      <c r="AB147" s="51"/>
      <c r="AC147" s="51">
        <f t="shared" si="193"/>
        <v>5777</v>
      </c>
      <c r="AD147" s="51"/>
      <c r="AE147" s="51">
        <v>1640</v>
      </c>
      <c r="AF147" s="174"/>
      <c r="AG147" s="76"/>
      <c r="AH147" s="51"/>
      <c r="AI147" s="51">
        <f t="shared" si="186"/>
        <v>7417</v>
      </c>
      <c r="AJ147" s="51"/>
      <c r="AK147" s="51"/>
      <c r="AL147" s="51"/>
      <c r="AM147" s="51"/>
      <c r="AN147" s="51"/>
      <c r="AO147" s="51">
        <f t="shared" si="187"/>
        <v>7417</v>
      </c>
      <c r="AP147" s="51"/>
      <c r="AQ147" s="51"/>
      <c r="AR147" s="51"/>
      <c r="AS147" s="51"/>
      <c r="AT147" s="51"/>
      <c r="AU147" s="51">
        <f t="shared" si="188"/>
        <v>7417</v>
      </c>
      <c r="AV147" s="51"/>
      <c r="AW147" s="51"/>
      <c r="AX147" s="51"/>
      <c r="AY147" s="51"/>
      <c r="AZ147" s="51"/>
      <c r="BA147" s="51">
        <f t="shared" si="189"/>
        <v>7417</v>
      </c>
      <c r="BB147" s="51"/>
      <c r="BC147" s="51"/>
      <c r="BD147" s="51"/>
      <c r="BE147" s="51"/>
      <c r="BF147" s="51"/>
      <c r="BG147" s="51">
        <f t="shared" si="190"/>
        <v>7417</v>
      </c>
      <c r="BH147" s="51"/>
      <c r="BI147" s="51"/>
      <c r="BJ147" s="51"/>
      <c r="BK147" s="51"/>
      <c r="BL147" s="51"/>
      <c r="BM147" s="36">
        <f>SUM(BG147+BI147-BJ147+BK147-BL147)</f>
        <v>7417</v>
      </c>
      <c r="BN147" s="51"/>
      <c r="BO147" s="51"/>
      <c r="BP147" s="51"/>
      <c r="BQ147" s="51"/>
      <c r="BR147" s="51"/>
      <c r="BS147" s="51">
        <f t="shared" si="191"/>
        <v>7417</v>
      </c>
      <c r="BT147" s="51"/>
      <c r="BU147" s="51"/>
      <c r="BV147" s="51"/>
      <c r="BW147" s="51"/>
      <c r="BX147" s="51"/>
      <c r="BY147" s="51">
        <f t="shared" si="192"/>
        <v>7417</v>
      </c>
      <c r="BZ147" s="51"/>
      <c r="CA147" s="51"/>
      <c r="CB147" s="51"/>
      <c r="CC147" s="36">
        <f>+BY147+CA147-BZ147-CB147</f>
        <v>7417</v>
      </c>
      <c r="CD147" s="51"/>
    </row>
    <row r="148" spans="1:85">
      <c r="A148" s="34"/>
      <c r="B148" s="35" t="s">
        <v>241</v>
      </c>
      <c r="C148" s="35"/>
      <c r="D148" s="35"/>
      <c r="E148" s="36"/>
      <c r="F148" s="36"/>
      <c r="G148" s="36"/>
      <c r="H148" s="36"/>
      <c r="I148" s="36"/>
      <c r="J148" s="36"/>
      <c r="K148" s="51">
        <f>SUM(E148+G148-H148+I148-J148)</f>
        <v>0</v>
      </c>
      <c r="L148" s="36"/>
      <c r="M148" s="36"/>
      <c r="N148" s="36"/>
      <c r="O148" s="36"/>
      <c r="P148" s="36"/>
      <c r="Q148" s="51">
        <f>SUM(K148+M148-N148+O148-P148)</f>
        <v>0</v>
      </c>
      <c r="R148" s="36"/>
      <c r="S148" s="36">
        <v>0</v>
      </c>
      <c r="T148" s="36"/>
      <c r="U148" s="36"/>
      <c r="V148" s="36"/>
      <c r="W148" s="51">
        <f t="shared" si="185"/>
        <v>0</v>
      </c>
      <c r="X148" s="36"/>
      <c r="Y148" s="36"/>
      <c r="Z148" s="36"/>
      <c r="AA148" s="36"/>
      <c r="AB148" s="36"/>
      <c r="AC148" s="51">
        <f t="shared" si="193"/>
        <v>0</v>
      </c>
      <c r="AD148" s="36"/>
      <c r="AE148" s="36"/>
      <c r="AF148" s="171"/>
      <c r="AG148" s="369">
        <v>35000</v>
      </c>
      <c r="AH148" s="36"/>
      <c r="AI148" s="51">
        <f t="shared" ref="AI148:AI155" si="194">SUM(AC148+AE148-AF148+AG148-AH148)</f>
        <v>35000</v>
      </c>
      <c r="AJ148" s="36"/>
      <c r="AK148" s="36"/>
      <c r="AL148" s="36"/>
      <c r="AM148" s="36"/>
      <c r="AN148" s="36"/>
      <c r="AO148" s="51">
        <f t="shared" si="187"/>
        <v>35000</v>
      </c>
      <c r="AP148" s="36"/>
      <c r="AQ148" s="36">
        <v>0</v>
      </c>
      <c r="AR148" s="36"/>
      <c r="AS148" s="36"/>
      <c r="AT148" s="36"/>
      <c r="AU148" s="51">
        <f t="shared" si="188"/>
        <v>35000</v>
      </c>
      <c r="AV148" s="36"/>
      <c r="AW148" s="36"/>
      <c r="AX148" s="36"/>
      <c r="AY148" s="36"/>
      <c r="AZ148" s="36"/>
      <c r="BA148" s="51">
        <f t="shared" si="189"/>
        <v>35000</v>
      </c>
      <c r="BB148" s="36"/>
      <c r="BC148" s="36"/>
      <c r="BD148" s="36"/>
      <c r="BE148" s="36"/>
      <c r="BF148" s="36"/>
      <c r="BG148" s="51">
        <f t="shared" si="190"/>
        <v>35000</v>
      </c>
      <c r="BH148" s="36"/>
      <c r="BI148" s="36"/>
      <c r="BJ148" s="36"/>
      <c r="BK148" s="36"/>
      <c r="BL148" s="36"/>
      <c r="BM148" s="36">
        <f>SUM(BG148+BI148-BJ148+BK148-BL148)</f>
        <v>35000</v>
      </c>
      <c r="BN148" s="36"/>
      <c r="BO148" s="36"/>
      <c r="BP148" s="36"/>
      <c r="BQ148" s="36"/>
      <c r="BR148" s="36"/>
      <c r="BS148" s="51">
        <f t="shared" si="191"/>
        <v>35000</v>
      </c>
      <c r="BT148" s="36"/>
      <c r="BU148" s="36"/>
      <c r="BV148" s="36"/>
      <c r="BW148" s="36"/>
      <c r="BX148" s="36"/>
      <c r="BY148" s="51">
        <f t="shared" si="192"/>
        <v>35000</v>
      </c>
      <c r="BZ148" s="36"/>
      <c r="CA148" s="36"/>
      <c r="CB148" s="36"/>
      <c r="CC148" s="36">
        <f t="shared" ref="CC148:CC162" si="195">+BY148+CA148-BZ148-CB148</f>
        <v>35000</v>
      </c>
      <c r="CD148" s="36"/>
      <c r="CG148" s="6">
        <f>6693005.09+3859500+432500</f>
        <v>10985005.09</v>
      </c>
    </row>
    <row r="149" spans="1:85">
      <c r="A149" s="66"/>
      <c r="B149" s="67"/>
      <c r="C149" s="67"/>
      <c r="D149" s="67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174"/>
      <c r="AG149" s="123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124"/>
      <c r="CD149" s="51"/>
      <c r="CG149" s="6"/>
    </row>
    <row r="150" spans="1:85">
      <c r="A150" s="37"/>
      <c r="B150" s="38"/>
      <c r="C150" s="38"/>
      <c r="D150" s="38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51">
        <f t="shared" si="185"/>
        <v>0</v>
      </c>
      <c r="X150" s="39"/>
      <c r="Y150" s="39"/>
      <c r="Z150" s="39"/>
      <c r="AA150" s="39"/>
      <c r="AB150" s="39"/>
      <c r="AC150" s="51"/>
      <c r="AD150" s="39"/>
      <c r="AE150" s="39"/>
      <c r="AF150" s="172"/>
      <c r="AG150" s="75"/>
      <c r="AH150" s="39"/>
      <c r="AI150" s="51">
        <f t="shared" si="194"/>
        <v>0</v>
      </c>
      <c r="AJ150" s="39"/>
      <c r="AK150" s="39"/>
      <c r="AL150" s="39"/>
      <c r="AM150" s="39"/>
      <c r="AN150" s="39"/>
      <c r="AO150" s="51">
        <f t="shared" si="187"/>
        <v>0</v>
      </c>
      <c r="AP150" s="39"/>
      <c r="AQ150" s="39"/>
      <c r="AR150" s="39"/>
      <c r="AS150" s="39"/>
      <c r="AT150" s="39"/>
      <c r="AU150" s="51">
        <f t="shared" si="188"/>
        <v>0</v>
      </c>
      <c r="AV150" s="39"/>
      <c r="AW150" s="39"/>
      <c r="AX150" s="39"/>
      <c r="AY150" s="39"/>
      <c r="AZ150" s="39"/>
      <c r="BA150" s="51">
        <f t="shared" si="189"/>
        <v>0</v>
      </c>
      <c r="BB150" s="39"/>
      <c r="BC150" s="39"/>
      <c r="BD150" s="39"/>
      <c r="BE150" s="39"/>
      <c r="BF150" s="39"/>
      <c r="BG150" s="51">
        <f t="shared" si="190"/>
        <v>0</v>
      </c>
      <c r="BH150" s="39"/>
      <c r="BI150" s="39"/>
      <c r="BJ150" s="39"/>
      <c r="BK150" s="39"/>
      <c r="BL150" s="39"/>
      <c r="BM150" s="39">
        <f t="shared" ref="BM150:BM162" si="196">SUM(BG150+BI150-BJ150+BK150-BL150)</f>
        <v>0</v>
      </c>
      <c r="BN150" s="39"/>
      <c r="BO150" s="39"/>
      <c r="BP150" s="39"/>
      <c r="BQ150" s="39"/>
      <c r="BR150" s="39"/>
      <c r="BS150" s="51">
        <f t="shared" si="191"/>
        <v>0</v>
      </c>
      <c r="BT150" s="39"/>
      <c r="BU150" s="39"/>
      <c r="BV150" s="39"/>
      <c r="BW150" s="39"/>
      <c r="BX150" s="39"/>
      <c r="BY150" s="51">
        <f t="shared" si="192"/>
        <v>0</v>
      </c>
      <c r="BZ150" s="39"/>
      <c r="CA150" s="39"/>
      <c r="CB150" s="39"/>
      <c r="CC150" s="124">
        <f t="shared" si="195"/>
        <v>0</v>
      </c>
      <c r="CD150" s="39"/>
    </row>
    <row r="151" spans="1:85">
      <c r="A151" s="12" t="s">
        <v>302</v>
      </c>
      <c r="B151" s="24"/>
      <c r="C151" s="24"/>
      <c r="D151" s="24"/>
      <c r="E151" s="11"/>
      <c r="F151" s="11"/>
      <c r="G151" s="11"/>
      <c r="H151" s="11"/>
      <c r="I151" s="11"/>
      <c r="J151" s="11"/>
      <c r="K151" s="11">
        <f>SUM(E151+G151-H151+I151-J151)</f>
        <v>0</v>
      </c>
      <c r="L151" s="11"/>
      <c r="M151" s="11">
        <v>91640</v>
      </c>
      <c r="N151" s="11"/>
      <c r="O151" s="11">
        <v>91640</v>
      </c>
      <c r="P151" s="11"/>
      <c r="Q151" s="11">
        <f t="shared" ref="Q151:Q160" si="197">SUM(K151+M151-N151+O151-P151)</f>
        <v>183280</v>
      </c>
      <c r="R151" s="11"/>
      <c r="S151" s="11">
        <v>91640</v>
      </c>
      <c r="T151" s="11"/>
      <c r="U151" s="11"/>
      <c r="V151" s="11"/>
      <c r="W151" s="11">
        <f>SUM(Q151+S151-T151+U151-V151)</f>
        <v>274920</v>
      </c>
      <c r="X151" s="11"/>
      <c r="Y151" s="11">
        <v>114960</v>
      </c>
      <c r="Z151" s="11"/>
      <c r="AA151" s="11"/>
      <c r="AB151" s="11"/>
      <c r="AC151" s="11">
        <f t="shared" si="193"/>
        <v>389880</v>
      </c>
      <c r="AD151" s="11"/>
      <c r="AE151" s="11">
        <v>97470</v>
      </c>
      <c r="AF151" s="168"/>
      <c r="AG151" s="11"/>
      <c r="AH151" s="11"/>
      <c r="AI151" s="11">
        <f t="shared" si="194"/>
        <v>487350</v>
      </c>
      <c r="AJ151" s="11"/>
      <c r="AK151" s="11"/>
      <c r="AL151" s="11"/>
      <c r="AM151" s="11"/>
      <c r="AN151" s="11"/>
      <c r="AO151" s="11">
        <f t="shared" si="187"/>
        <v>487350</v>
      </c>
      <c r="AP151" s="11"/>
      <c r="AQ151" s="11"/>
      <c r="AR151" s="11"/>
      <c r="AS151" s="11"/>
      <c r="AT151" s="11"/>
      <c r="AU151" s="11">
        <f t="shared" si="188"/>
        <v>487350</v>
      </c>
      <c r="AV151" s="11"/>
      <c r="AW151" s="11"/>
      <c r="AX151" s="11"/>
      <c r="AY151" s="11"/>
      <c r="AZ151" s="11"/>
      <c r="BA151" s="11">
        <f t="shared" si="189"/>
        <v>487350</v>
      </c>
      <c r="BB151" s="11"/>
      <c r="BC151" s="11"/>
      <c r="BD151" s="11"/>
      <c r="BE151" s="11"/>
      <c r="BF151" s="11"/>
      <c r="BG151" s="11">
        <f t="shared" si="190"/>
        <v>487350</v>
      </c>
      <c r="BH151" s="11"/>
      <c r="BI151" s="11"/>
      <c r="BJ151" s="11"/>
      <c r="BK151" s="11"/>
      <c r="BL151" s="11"/>
      <c r="BM151" s="11">
        <f t="shared" si="196"/>
        <v>487350</v>
      </c>
      <c r="BN151" s="11"/>
      <c r="BO151" s="11"/>
      <c r="BP151" s="11"/>
      <c r="BQ151" s="11"/>
      <c r="BR151" s="11"/>
      <c r="BS151" s="11">
        <f t="shared" si="191"/>
        <v>487350</v>
      </c>
      <c r="BT151" s="11"/>
      <c r="BU151" s="11"/>
      <c r="BV151" s="11"/>
      <c r="BW151" s="11"/>
      <c r="BX151" s="11"/>
      <c r="BY151" s="11">
        <f t="shared" si="192"/>
        <v>487350</v>
      </c>
      <c r="BZ151" s="11"/>
      <c r="CA151" s="11"/>
      <c r="CB151" s="11"/>
      <c r="CC151" s="33">
        <f t="shared" si="195"/>
        <v>487350</v>
      </c>
      <c r="CD151" s="11"/>
    </row>
    <row r="152" spans="1:85">
      <c r="A152" s="12" t="s">
        <v>301</v>
      </c>
      <c r="B152" s="24"/>
      <c r="C152" s="24"/>
      <c r="D152" s="24"/>
      <c r="E152" s="11"/>
      <c r="F152" s="11"/>
      <c r="G152" s="11"/>
      <c r="H152" s="11"/>
      <c r="I152" s="11"/>
      <c r="J152" s="11"/>
      <c r="K152" s="11">
        <f>SUM(E152+G152-H152+I152-J152)</f>
        <v>0</v>
      </c>
      <c r="L152" s="11"/>
      <c r="M152" s="11">
        <v>27133.33</v>
      </c>
      <c r="N152" s="11"/>
      <c r="O152" s="11">
        <v>22800</v>
      </c>
      <c r="P152" s="11"/>
      <c r="Q152" s="11">
        <f t="shared" si="197"/>
        <v>49933.33</v>
      </c>
      <c r="R152" s="11"/>
      <c r="S152" s="11">
        <v>32800</v>
      </c>
      <c r="T152" s="11"/>
      <c r="U152" s="11"/>
      <c r="V152" s="11"/>
      <c r="W152" s="11">
        <f>SUM(Q152+S152-T152+U152-V152)</f>
        <v>82733.33</v>
      </c>
      <c r="X152" s="11"/>
      <c r="Y152" s="11">
        <v>32800</v>
      </c>
      <c r="Z152" s="11"/>
      <c r="AA152" s="11"/>
      <c r="AB152" s="11"/>
      <c r="AC152" s="11">
        <f t="shared" si="193"/>
        <v>115533.33</v>
      </c>
      <c r="AD152" s="11"/>
      <c r="AE152" s="11">
        <v>32800</v>
      </c>
      <c r="AF152" s="168"/>
      <c r="AG152" s="11"/>
      <c r="AH152" s="11"/>
      <c r="AI152" s="11">
        <f t="shared" si="194"/>
        <v>148333.33000000002</v>
      </c>
      <c r="AJ152" s="11"/>
      <c r="AK152" s="11"/>
      <c r="AL152" s="11"/>
      <c r="AM152" s="11"/>
      <c r="AN152" s="11"/>
      <c r="AO152" s="11">
        <f t="shared" si="187"/>
        <v>148333.33000000002</v>
      </c>
      <c r="AP152" s="11"/>
      <c r="AQ152" s="11"/>
      <c r="AR152" s="11"/>
      <c r="AS152" s="11"/>
      <c r="AT152" s="11"/>
      <c r="AU152" s="11">
        <f t="shared" si="188"/>
        <v>148333.33000000002</v>
      </c>
      <c r="AV152" s="11"/>
      <c r="AW152" s="11"/>
      <c r="AX152" s="11"/>
      <c r="AY152" s="11"/>
      <c r="AZ152" s="11"/>
      <c r="BA152" s="11">
        <f t="shared" si="189"/>
        <v>148333.33000000002</v>
      </c>
      <c r="BB152" s="11"/>
      <c r="BC152" s="11"/>
      <c r="BD152" s="11"/>
      <c r="BE152" s="11"/>
      <c r="BF152" s="11"/>
      <c r="BG152" s="11">
        <f t="shared" si="190"/>
        <v>148333.33000000002</v>
      </c>
      <c r="BH152" s="11"/>
      <c r="BI152" s="11"/>
      <c r="BJ152" s="11"/>
      <c r="BK152" s="11"/>
      <c r="BL152" s="11"/>
      <c r="BM152" s="11">
        <f t="shared" si="196"/>
        <v>148333.33000000002</v>
      </c>
      <c r="BN152" s="11"/>
      <c r="BO152" s="11"/>
      <c r="BP152" s="11"/>
      <c r="BQ152" s="11"/>
      <c r="BR152" s="11"/>
      <c r="BS152" s="11">
        <f t="shared" si="191"/>
        <v>148333.33000000002</v>
      </c>
      <c r="BT152" s="11"/>
      <c r="BU152" s="11"/>
      <c r="BV152" s="11"/>
      <c r="BW152" s="11"/>
      <c r="BX152" s="11"/>
      <c r="BY152" s="11">
        <f t="shared" si="192"/>
        <v>148333.33000000002</v>
      </c>
      <c r="BZ152" s="11"/>
      <c r="CA152" s="11"/>
      <c r="CB152" s="11"/>
      <c r="CC152" s="33">
        <f t="shared" si="195"/>
        <v>148333.33000000002</v>
      </c>
      <c r="CD152" s="11"/>
    </row>
    <row r="153" spans="1:85" s="23" customFormat="1">
      <c r="A153" s="85" t="s">
        <v>321</v>
      </c>
      <c r="B153" s="86"/>
      <c r="C153" s="86"/>
      <c r="D153" s="86"/>
      <c r="E153" s="87"/>
      <c r="F153" s="87"/>
      <c r="G153" s="87"/>
      <c r="H153" s="87"/>
      <c r="I153" s="87"/>
      <c r="J153" s="87"/>
      <c r="K153" s="87">
        <f>SUM(E153+G153-H153+I153-J153)</f>
        <v>0</v>
      </c>
      <c r="L153" s="87"/>
      <c r="M153" s="87"/>
      <c r="N153" s="87"/>
      <c r="O153" s="87"/>
      <c r="P153" s="87"/>
      <c r="Q153" s="87">
        <f t="shared" si="197"/>
        <v>0</v>
      </c>
      <c r="R153" s="87"/>
      <c r="S153" s="87"/>
      <c r="T153" s="87"/>
      <c r="U153" s="87"/>
      <c r="V153" s="87"/>
      <c r="W153" s="87">
        <f t="shared" si="185"/>
        <v>0</v>
      </c>
      <c r="X153" s="87"/>
      <c r="Y153" s="87"/>
      <c r="Z153" s="87"/>
      <c r="AA153" s="87"/>
      <c r="AB153" s="87"/>
      <c r="AC153" s="87">
        <f t="shared" si="193"/>
        <v>0</v>
      </c>
      <c r="AD153" s="87"/>
      <c r="AE153" s="87"/>
      <c r="AF153" s="104"/>
      <c r="AG153" s="87"/>
      <c r="AH153" s="87"/>
      <c r="AI153" s="87">
        <f t="shared" si="194"/>
        <v>0</v>
      </c>
      <c r="AJ153" s="87"/>
      <c r="AK153" s="87"/>
      <c r="AL153" s="87"/>
      <c r="AM153" s="87"/>
      <c r="AN153" s="87"/>
      <c r="AO153" s="87">
        <f t="shared" si="187"/>
        <v>0</v>
      </c>
      <c r="AP153" s="87"/>
      <c r="AQ153" s="87"/>
      <c r="AR153" s="87"/>
      <c r="AS153" s="87"/>
      <c r="AT153" s="87"/>
      <c r="AU153" s="87">
        <f t="shared" si="188"/>
        <v>0</v>
      </c>
      <c r="AV153" s="87"/>
      <c r="AW153" s="87"/>
      <c r="AX153" s="87"/>
      <c r="AY153" s="87"/>
      <c r="AZ153" s="87"/>
      <c r="BA153" s="87">
        <f t="shared" si="189"/>
        <v>0</v>
      </c>
      <c r="BB153" s="87"/>
      <c r="BC153" s="87"/>
      <c r="BD153" s="87"/>
      <c r="BE153" s="87"/>
      <c r="BF153" s="87"/>
      <c r="BG153" s="87">
        <f t="shared" si="190"/>
        <v>0</v>
      </c>
      <c r="BH153" s="87"/>
      <c r="BI153" s="87"/>
      <c r="BJ153" s="87"/>
      <c r="BK153" s="87"/>
      <c r="BL153" s="87"/>
      <c r="BM153" s="87">
        <f t="shared" si="196"/>
        <v>0</v>
      </c>
      <c r="BN153" s="87"/>
      <c r="BO153" s="87"/>
      <c r="BP153" s="87"/>
      <c r="BQ153" s="87"/>
      <c r="BR153" s="87"/>
      <c r="BS153" s="87">
        <f t="shared" si="191"/>
        <v>0</v>
      </c>
      <c r="BT153" s="87"/>
      <c r="BU153" s="87"/>
      <c r="BV153" s="87"/>
      <c r="BW153" s="87"/>
      <c r="BX153" s="87"/>
      <c r="BY153" s="87">
        <f t="shared" si="192"/>
        <v>0</v>
      </c>
      <c r="BZ153" s="87"/>
      <c r="CA153" s="87"/>
      <c r="CB153" s="87"/>
      <c r="CC153" s="100">
        <f>+BY153+CA153-BZ153-CB153</f>
        <v>0</v>
      </c>
      <c r="CD153" s="87"/>
      <c r="CE153" s="89"/>
      <c r="CF153" s="89"/>
    </row>
    <row r="154" spans="1:85">
      <c r="A154" s="26" t="s">
        <v>320</v>
      </c>
      <c r="B154" s="24"/>
      <c r="C154" s="24"/>
      <c r="D154" s="24"/>
      <c r="E154" s="11"/>
      <c r="F154" s="11"/>
      <c r="G154" s="11"/>
      <c r="H154" s="11"/>
      <c r="I154" s="11"/>
      <c r="J154" s="11"/>
      <c r="K154" s="11">
        <f>SUM(E154+G154-H154+I154-J154)</f>
        <v>0</v>
      </c>
      <c r="L154" s="11"/>
      <c r="M154" s="11"/>
      <c r="N154" s="11"/>
      <c r="O154" s="11"/>
      <c r="P154" s="11"/>
      <c r="Q154" s="11">
        <f t="shared" si="197"/>
        <v>0</v>
      </c>
      <c r="R154" s="11"/>
      <c r="S154" s="11"/>
      <c r="T154" s="11"/>
      <c r="U154" s="11"/>
      <c r="V154" s="11"/>
      <c r="W154" s="11">
        <f t="shared" si="185"/>
        <v>0</v>
      </c>
      <c r="X154" s="11"/>
      <c r="Y154" s="11"/>
      <c r="Z154" s="11"/>
      <c r="AA154" s="11"/>
      <c r="AB154" s="11"/>
      <c r="AC154" s="11">
        <f t="shared" si="193"/>
        <v>0</v>
      </c>
      <c r="AD154" s="11"/>
      <c r="AE154" s="11"/>
      <c r="AF154" s="168"/>
      <c r="AG154" s="11"/>
      <c r="AH154" s="11"/>
      <c r="AI154" s="11">
        <f t="shared" si="194"/>
        <v>0</v>
      </c>
      <c r="AJ154" s="11"/>
      <c r="AK154" s="11"/>
      <c r="AL154" s="11"/>
      <c r="AM154" s="11"/>
      <c r="AN154" s="11"/>
      <c r="AO154" s="11">
        <f t="shared" si="187"/>
        <v>0</v>
      </c>
      <c r="AP154" s="11"/>
      <c r="AQ154" s="11"/>
      <c r="AR154" s="11"/>
      <c r="AS154" s="11"/>
      <c r="AT154" s="11"/>
      <c r="AU154" s="11">
        <f t="shared" si="188"/>
        <v>0</v>
      </c>
      <c r="AV154" s="11"/>
      <c r="AW154" s="11"/>
      <c r="AX154" s="11">
        <v>0</v>
      </c>
      <c r="AY154" s="11"/>
      <c r="AZ154" s="11"/>
      <c r="BA154" s="11">
        <f t="shared" si="189"/>
        <v>0</v>
      </c>
      <c r="BB154" s="11"/>
      <c r="BC154" s="11"/>
      <c r="BD154" s="11"/>
      <c r="BE154" s="11"/>
      <c r="BF154" s="11"/>
      <c r="BG154" s="11">
        <f t="shared" si="190"/>
        <v>0</v>
      </c>
      <c r="BH154" s="11"/>
      <c r="BI154" s="11"/>
      <c r="BJ154" s="11"/>
      <c r="BK154" s="11"/>
      <c r="BL154" s="11"/>
      <c r="BM154" s="11">
        <f t="shared" si="196"/>
        <v>0</v>
      </c>
      <c r="BN154" s="11"/>
      <c r="BO154" s="11"/>
      <c r="BP154" s="11"/>
      <c r="BQ154" s="11"/>
      <c r="BR154" s="11"/>
      <c r="BS154" s="11">
        <f t="shared" si="191"/>
        <v>0</v>
      </c>
      <c r="BT154" s="11"/>
      <c r="BU154" s="11"/>
      <c r="BV154" s="11"/>
      <c r="BW154" s="11"/>
      <c r="BX154" s="11"/>
      <c r="BY154" s="11">
        <f t="shared" si="192"/>
        <v>0</v>
      </c>
      <c r="BZ154" s="11"/>
      <c r="CA154" s="11"/>
      <c r="CB154" s="11"/>
      <c r="CC154" s="33">
        <f t="shared" si="195"/>
        <v>0</v>
      </c>
      <c r="CD154" s="11"/>
    </row>
    <row r="155" spans="1:85">
      <c r="A155" s="26" t="s">
        <v>222</v>
      </c>
      <c r="B155" s="24"/>
      <c r="C155" s="24"/>
      <c r="D155" s="24"/>
      <c r="E155" s="11"/>
      <c r="F155" s="11"/>
      <c r="G155" s="11"/>
      <c r="H155" s="11"/>
      <c r="I155" s="11"/>
      <c r="J155" s="11"/>
      <c r="K155" s="11">
        <f>SUM(E155+G155-H155+I155-J155)</f>
        <v>0</v>
      </c>
      <c r="L155" s="11"/>
      <c r="M155" s="11"/>
      <c r="N155" s="11"/>
      <c r="O155" s="11"/>
      <c r="P155" s="11"/>
      <c r="Q155" s="11">
        <f t="shared" si="197"/>
        <v>0</v>
      </c>
      <c r="R155" s="11"/>
      <c r="S155" s="11"/>
      <c r="T155" s="11"/>
      <c r="U155" s="11"/>
      <c r="V155" s="11"/>
      <c r="W155" s="11">
        <f t="shared" si="185"/>
        <v>0</v>
      </c>
      <c r="X155" s="11"/>
      <c r="Y155" s="11"/>
      <c r="Z155" s="11"/>
      <c r="AA155" s="11"/>
      <c r="AB155" s="11"/>
      <c r="AC155" s="11">
        <f t="shared" si="193"/>
        <v>0</v>
      </c>
      <c r="AD155" s="11"/>
      <c r="AE155" s="11"/>
      <c r="AF155" s="168"/>
      <c r="AG155" s="11"/>
      <c r="AH155" s="11"/>
      <c r="AI155" s="11">
        <f t="shared" si="194"/>
        <v>0</v>
      </c>
      <c r="AJ155" s="11"/>
      <c r="AK155" s="11"/>
      <c r="AL155" s="11"/>
      <c r="AM155" s="11"/>
      <c r="AN155" s="11"/>
      <c r="AO155" s="11">
        <f t="shared" si="187"/>
        <v>0</v>
      </c>
      <c r="AP155" s="11"/>
      <c r="AQ155" s="11"/>
      <c r="AR155" s="11"/>
      <c r="AS155" s="11"/>
      <c r="AT155" s="11"/>
      <c r="AU155" s="11">
        <f t="shared" si="188"/>
        <v>0</v>
      </c>
      <c r="AV155" s="11"/>
      <c r="AW155" s="11"/>
      <c r="AX155" s="11"/>
      <c r="AY155" s="11"/>
      <c r="AZ155" s="11"/>
      <c r="BA155" s="11">
        <f t="shared" si="189"/>
        <v>0</v>
      </c>
      <c r="BB155" s="11"/>
      <c r="BC155" s="11"/>
      <c r="BD155" s="11"/>
      <c r="BE155" s="11"/>
      <c r="BF155" s="11"/>
      <c r="BG155" s="11">
        <f t="shared" si="190"/>
        <v>0</v>
      </c>
      <c r="BH155" s="11"/>
      <c r="BI155" s="11"/>
      <c r="BJ155" s="11"/>
      <c r="BK155" s="11"/>
      <c r="BL155" s="11"/>
      <c r="BM155" s="11">
        <f t="shared" si="196"/>
        <v>0</v>
      </c>
      <c r="BN155" s="11"/>
      <c r="BO155" s="11"/>
      <c r="BP155" s="11"/>
      <c r="BQ155" s="11"/>
      <c r="BR155" s="11"/>
      <c r="BS155" s="11">
        <f t="shared" si="191"/>
        <v>0</v>
      </c>
      <c r="BT155" s="11"/>
      <c r="BU155" s="11"/>
      <c r="BV155" s="11"/>
      <c r="BW155" s="11"/>
      <c r="BX155" s="11"/>
      <c r="BY155" s="11">
        <f t="shared" si="192"/>
        <v>0</v>
      </c>
      <c r="BZ155" s="11"/>
      <c r="CA155" s="11"/>
      <c r="CB155" s="11"/>
      <c r="CC155" s="33">
        <f t="shared" si="195"/>
        <v>0</v>
      </c>
      <c r="CD155" s="11"/>
    </row>
    <row r="156" spans="1:85">
      <c r="A156" s="26" t="s">
        <v>242</v>
      </c>
      <c r="B156" s="24"/>
      <c r="C156" s="24"/>
      <c r="D156" s="24"/>
      <c r="E156" s="11"/>
      <c r="F156" s="11"/>
      <c r="G156" s="11"/>
      <c r="H156" s="11"/>
      <c r="I156" s="11"/>
      <c r="J156" s="11"/>
      <c r="K156" s="11">
        <f t="shared" ref="K156:K160" si="198">SUM(E156+G156-H156+I156-J156)</f>
        <v>0</v>
      </c>
      <c r="L156" s="11"/>
      <c r="M156" s="11"/>
      <c r="N156" s="11"/>
      <c r="O156" s="11"/>
      <c r="P156" s="11"/>
      <c r="Q156" s="11">
        <f t="shared" si="197"/>
        <v>0</v>
      </c>
      <c r="R156" s="11"/>
      <c r="S156" s="11"/>
      <c r="T156" s="11"/>
      <c r="U156" s="11"/>
      <c r="V156" s="11"/>
      <c r="W156" s="11">
        <f t="shared" si="185"/>
        <v>0</v>
      </c>
      <c r="X156" s="11"/>
      <c r="Y156" s="11"/>
      <c r="Z156" s="11"/>
      <c r="AA156" s="11"/>
      <c r="AB156" s="11"/>
      <c r="AC156" s="11">
        <f t="shared" si="193"/>
        <v>0</v>
      </c>
      <c r="AD156" s="11"/>
      <c r="AE156" s="11"/>
      <c r="AF156" s="168"/>
      <c r="AG156" s="11"/>
      <c r="AH156" s="11"/>
      <c r="AI156" s="11">
        <f t="shared" si="186"/>
        <v>0</v>
      </c>
      <c r="AJ156" s="11"/>
      <c r="AK156" s="11"/>
      <c r="AL156" s="11"/>
      <c r="AM156" s="11"/>
      <c r="AN156" s="11"/>
      <c r="AO156" s="11">
        <f t="shared" si="187"/>
        <v>0</v>
      </c>
      <c r="AP156" s="11"/>
      <c r="AQ156" s="11"/>
      <c r="AR156" s="11"/>
      <c r="AS156" s="11"/>
      <c r="AT156" s="11"/>
      <c r="AU156" s="11">
        <f t="shared" si="188"/>
        <v>0</v>
      </c>
      <c r="AV156" s="11"/>
      <c r="AW156" s="11"/>
      <c r="AX156" s="11"/>
      <c r="AY156" s="11"/>
      <c r="AZ156" s="11"/>
      <c r="BA156" s="11">
        <f t="shared" si="189"/>
        <v>0</v>
      </c>
      <c r="BB156" s="11"/>
      <c r="BC156" s="11"/>
      <c r="BD156" s="11"/>
      <c r="BE156" s="11"/>
      <c r="BF156" s="11"/>
      <c r="BG156" s="11">
        <f t="shared" si="190"/>
        <v>0</v>
      </c>
      <c r="BH156" s="11"/>
      <c r="BI156" s="11"/>
      <c r="BJ156" s="11"/>
      <c r="BK156" s="11"/>
      <c r="BL156" s="11"/>
      <c r="BM156" s="11">
        <f t="shared" si="196"/>
        <v>0</v>
      </c>
      <c r="BN156" s="11"/>
      <c r="BO156" s="11"/>
      <c r="BP156" s="11"/>
      <c r="BQ156" s="11"/>
      <c r="BR156" s="11"/>
      <c r="BS156" s="11">
        <f t="shared" si="191"/>
        <v>0</v>
      </c>
      <c r="BT156" s="11"/>
      <c r="BU156" s="11"/>
      <c r="BV156" s="11"/>
      <c r="BW156" s="11"/>
      <c r="BX156" s="11"/>
      <c r="BY156" s="11">
        <f t="shared" si="192"/>
        <v>0</v>
      </c>
      <c r="BZ156" s="11"/>
      <c r="CA156" s="11"/>
      <c r="CB156" s="11"/>
      <c r="CC156" s="33">
        <f>+BY156+CA156-BZ156-CB156</f>
        <v>0</v>
      </c>
      <c r="CD156" s="11"/>
    </row>
    <row r="157" spans="1:85">
      <c r="A157" s="26" t="s">
        <v>244</v>
      </c>
      <c r="B157" s="24"/>
      <c r="C157" s="24"/>
      <c r="D157" s="24"/>
      <c r="E157" s="11"/>
      <c r="F157" s="11"/>
      <c r="G157" s="11"/>
      <c r="H157" s="11"/>
      <c r="I157" s="11"/>
      <c r="J157" s="11"/>
      <c r="K157" s="11">
        <f t="shared" si="198"/>
        <v>0</v>
      </c>
      <c r="L157" s="11"/>
      <c r="M157" s="11"/>
      <c r="N157" s="11"/>
      <c r="O157" s="11"/>
      <c r="P157" s="11"/>
      <c r="Q157" s="11">
        <f t="shared" si="197"/>
        <v>0</v>
      </c>
      <c r="R157" s="11"/>
      <c r="S157" s="11"/>
      <c r="T157" s="11"/>
      <c r="U157" s="11"/>
      <c r="V157" s="11"/>
      <c r="W157" s="11">
        <f t="shared" si="185"/>
        <v>0</v>
      </c>
      <c r="X157" s="11"/>
      <c r="Y157" s="11"/>
      <c r="Z157" s="11"/>
      <c r="AA157" s="11"/>
      <c r="AB157" s="11"/>
      <c r="AC157" s="11">
        <f t="shared" si="193"/>
        <v>0</v>
      </c>
      <c r="AD157" s="11"/>
      <c r="AE157" s="11"/>
      <c r="AF157" s="168"/>
      <c r="AG157" s="11"/>
      <c r="AH157" s="11"/>
      <c r="AI157" s="11">
        <f t="shared" si="186"/>
        <v>0</v>
      </c>
      <c r="AJ157" s="11"/>
      <c r="AK157" s="11"/>
      <c r="AL157" s="11"/>
      <c r="AM157" s="11"/>
      <c r="AN157" s="11"/>
      <c r="AO157" s="11">
        <f t="shared" si="187"/>
        <v>0</v>
      </c>
      <c r="AP157" s="11"/>
      <c r="AQ157" s="11"/>
      <c r="AR157" s="11"/>
      <c r="AS157" s="11"/>
      <c r="AT157" s="11"/>
      <c r="AU157" s="11">
        <f t="shared" si="188"/>
        <v>0</v>
      </c>
      <c r="AV157" s="11"/>
      <c r="AW157" s="11"/>
      <c r="AX157" s="11"/>
      <c r="AY157" s="11"/>
      <c r="AZ157" s="11"/>
      <c r="BA157" s="11">
        <f t="shared" si="189"/>
        <v>0</v>
      </c>
      <c r="BB157" s="11"/>
      <c r="BC157" s="11"/>
      <c r="BD157" s="11"/>
      <c r="BE157" s="11"/>
      <c r="BF157" s="11"/>
      <c r="BG157" s="11">
        <f t="shared" si="190"/>
        <v>0</v>
      </c>
      <c r="BH157" s="11"/>
      <c r="BI157" s="11"/>
      <c r="BJ157" s="11"/>
      <c r="BK157" s="11"/>
      <c r="BL157" s="11"/>
      <c r="BM157" s="11">
        <f t="shared" si="196"/>
        <v>0</v>
      </c>
      <c r="BN157" s="11"/>
      <c r="BO157" s="11"/>
      <c r="BP157" s="11"/>
      <c r="BQ157" s="11"/>
      <c r="BR157" s="11"/>
      <c r="BS157" s="11">
        <f t="shared" si="191"/>
        <v>0</v>
      </c>
      <c r="BT157" s="11"/>
      <c r="BU157" s="11"/>
      <c r="BV157" s="11"/>
      <c r="BW157" s="11"/>
      <c r="BX157" s="11"/>
      <c r="BY157" s="11">
        <f t="shared" si="192"/>
        <v>0</v>
      </c>
      <c r="BZ157" s="11"/>
      <c r="CA157" s="11"/>
      <c r="CB157" s="11"/>
      <c r="CC157" s="33">
        <f t="shared" si="195"/>
        <v>0</v>
      </c>
      <c r="CD157" s="11"/>
    </row>
    <row r="158" spans="1:85">
      <c r="A158" s="403" t="s">
        <v>317</v>
      </c>
      <c r="B158" s="404"/>
      <c r="C158" s="404"/>
      <c r="D158" s="405"/>
      <c r="E158" s="11"/>
      <c r="F158" s="11"/>
      <c r="G158" s="11"/>
      <c r="H158" s="11"/>
      <c r="I158" s="11"/>
      <c r="J158" s="11"/>
      <c r="K158" s="11">
        <f t="shared" si="198"/>
        <v>0</v>
      </c>
      <c r="L158" s="11"/>
      <c r="M158" s="11"/>
      <c r="N158" s="11"/>
      <c r="O158" s="11"/>
      <c r="P158" s="11"/>
      <c r="Q158" s="11">
        <f t="shared" si="197"/>
        <v>0</v>
      </c>
      <c r="R158" s="11"/>
      <c r="S158" s="11"/>
      <c r="T158" s="11"/>
      <c r="U158" s="11"/>
      <c r="V158" s="11"/>
      <c r="W158" s="11">
        <f t="shared" si="185"/>
        <v>0</v>
      </c>
      <c r="X158" s="11"/>
      <c r="Y158" s="11"/>
      <c r="Z158" s="11"/>
      <c r="AA158" s="11"/>
      <c r="AB158" s="11"/>
      <c r="AC158" s="11">
        <f t="shared" si="193"/>
        <v>0</v>
      </c>
      <c r="AD158" s="11"/>
      <c r="AE158" s="11"/>
      <c r="AF158" s="168"/>
      <c r="AG158" s="11"/>
      <c r="AH158" s="11"/>
      <c r="AI158" s="11">
        <f t="shared" si="186"/>
        <v>0</v>
      </c>
      <c r="AJ158" s="11"/>
      <c r="AK158" s="11"/>
      <c r="AL158" s="11"/>
      <c r="AM158" s="11"/>
      <c r="AN158" s="11"/>
      <c r="AO158" s="11">
        <f t="shared" si="187"/>
        <v>0</v>
      </c>
      <c r="AP158" s="11"/>
      <c r="AQ158" s="11"/>
      <c r="AR158" s="11"/>
      <c r="AS158" s="11"/>
      <c r="AT158" s="11"/>
      <c r="AU158" s="11">
        <f t="shared" si="188"/>
        <v>0</v>
      </c>
      <c r="AV158" s="11"/>
      <c r="AW158" s="11"/>
      <c r="AX158" s="11"/>
      <c r="AY158" s="11"/>
      <c r="AZ158" s="11"/>
      <c r="BA158" s="11">
        <f t="shared" si="189"/>
        <v>0</v>
      </c>
      <c r="BB158" s="11"/>
      <c r="BC158" s="11"/>
      <c r="BD158" s="11"/>
      <c r="BE158" s="11"/>
      <c r="BF158" s="11"/>
      <c r="BG158" s="11">
        <f t="shared" si="190"/>
        <v>0</v>
      </c>
      <c r="BH158" s="11"/>
      <c r="BI158" s="11"/>
      <c r="BJ158" s="11"/>
      <c r="BK158" s="11"/>
      <c r="BL158" s="11"/>
      <c r="BM158" s="11">
        <f t="shared" si="196"/>
        <v>0</v>
      </c>
      <c r="BN158" s="11"/>
      <c r="BO158" s="11"/>
      <c r="BP158" s="11"/>
      <c r="BQ158" s="11"/>
      <c r="BR158" s="11"/>
      <c r="BS158" s="11">
        <f t="shared" si="191"/>
        <v>0</v>
      </c>
      <c r="BT158" s="11"/>
      <c r="BU158" s="11"/>
      <c r="BV158" s="11"/>
      <c r="BW158" s="11"/>
      <c r="BX158" s="11"/>
      <c r="BY158" s="11">
        <f t="shared" si="192"/>
        <v>0</v>
      </c>
      <c r="BZ158" s="11"/>
      <c r="CA158" s="11"/>
      <c r="CB158" s="11"/>
      <c r="CC158" s="33">
        <f t="shared" si="195"/>
        <v>0</v>
      </c>
      <c r="CD158" s="11"/>
    </row>
    <row r="159" spans="1:85">
      <c r="A159" s="403" t="s">
        <v>318</v>
      </c>
      <c r="B159" s="404"/>
      <c r="C159" s="404"/>
      <c r="D159" s="405"/>
      <c r="E159" s="11"/>
      <c r="F159" s="11"/>
      <c r="G159" s="11"/>
      <c r="H159" s="11"/>
      <c r="I159" s="11"/>
      <c r="J159" s="11"/>
      <c r="K159" s="11">
        <f t="shared" si="198"/>
        <v>0</v>
      </c>
      <c r="L159" s="11"/>
      <c r="M159" s="11"/>
      <c r="N159" s="11"/>
      <c r="O159" s="11"/>
      <c r="P159" s="11"/>
      <c r="Q159" s="11">
        <f t="shared" si="197"/>
        <v>0</v>
      </c>
      <c r="R159" s="11"/>
      <c r="S159" s="11"/>
      <c r="T159" s="11"/>
      <c r="U159" s="11"/>
      <c r="V159" s="11"/>
      <c r="W159" s="11">
        <f t="shared" si="185"/>
        <v>0</v>
      </c>
      <c r="X159" s="11"/>
      <c r="Y159" s="11"/>
      <c r="Z159" s="11"/>
      <c r="AA159" s="11"/>
      <c r="AB159" s="11"/>
      <c r="AC159" s="11">
        <f t="shared" si="193"/>
        <v>0</v>
      </c>
      <c r="AD159" s="11"/>
      <c r="AE159" s="11"/>
      <c r="AF159" s="168"/>
      <c r="AG159" s="11"/>
      <c r="AH159" s="11"/>
      <c r="AI159" s="11">
        <f t="shared" si="186"/>
        <v>0</v>
      </c>
      <c r="AJ159" s="11"/>
      <c r="AK159" s="11"/>
      <c r="AL159" s="11"/>
      <c r="AM159" s="11"/>
      <c r="AN159" s="11"/>
      <c r="AO159" s="11">
        <f t="shared" si="187"/>
        <v>0</v>
      </c>
      <c r="AP159" s="11"/>
      <c r="AQ159" s="11"/>
      <c r="AR159" s="11"/>
      <c r="AS159" s="11"/>
      <c r="AT159" s="11"/>
      <c r="AU159" s="11">
        <f t="shared" si="188"/>
        <v>0</v>
      </c>
      <c r="AV159" s="11"/>
      <c r="AW159" s="11"/>
      <c r="AX159" s="11"/>
      <c r="AY159" s="11"/>
      <c r="AZ159" s="11"/>
      <c r="BA159" s="11">
        <f t="shared" si="189"/>
        <v>0</v>
      </c>
      <c r="BB159" s="11"/>
      <c r="BC159" s="11"/>
      <c r="BD159" s="11"/>
      <c r="BE159" s="11"/>
      <c r="BF159" s="11"/>
      <c r="BG159" s="11">
        <f t="shared" si="190"/>
        <v>0</v>
      </c>
      <c r="BH159" s="11"/>
      <c r="BI159" s="11"/>
      <c r="BJ159" s="11"/>
      <c r="BK159" s="11"/>
      <c r="BL159" s="11"/>
      <c r="BM159" s="11">
        <f t="shared" si="196"/>
        <v>0</v>
      </c>
      <c r="BN159" s="11"/>
      <c r="BO159" s="11"/>
      <c r="BP159" s="11"/>
      <c r="BQ159" s="11"/>
      <c r="BR159" s="11"/>
      <c r="BS159" s="11">
        <f t="shared" si="191"/>
        <v>0</v>
      </c>
      <c r="BT159" s="11"/>
      <c r="BU159" s="11"/>
      <c r="BV159" s="11"/>
      <c r="BW159" s="11"/>
      <c r="BX159" s="11"/>
      <c r="BY159" s="11">
        <f t="shared" si="192"/>
        <v>0</v>
      </c>
      <c r="BZ159" s="11"/>
      <c r="CA159" s="11"/>
      <c r="CB159" s="11"/>
      <c r="CC159" s="33">
        <f>+BY159+CA159-CB159</f>
        <v>0</v>
      </c>
      <c r="CD159" s="11"/>
    </row>
    <row r="160" spans="1:85">
      <c r="A160" s="403" t="s">
        <v>298</v>
      </c>
      <c r="B160" s="404"/>
      <c r="C160" s="404"/>
      <c r="D160" s="405"/>
      <c r="E160" s="11"/>
      <c r="F160" s="11"/>
      <c r="G160" s="11"/>
      <c r="H160" s="11"/>
      <c r="I160" s="11"/>
      <c r="J160" s="11"/>
      <c r="K160" s="11">
        <f t="shared" si="198"/>
        <v>0</v>
      </c>
      <c r="L160" s="11"/>
      <c r="M160" s="11"/>
      <c r="N160" s="11"/>
      <c r="O160" s="11"/>
      <c r="P160" s="11"/>
      <c r="Q160" s="11">
        <f t="shared" si="197"/>
        <v>0</v>
      </c>
      <c r="R160" s="11"/>
      <c r="S160" s="11"/>
      <c r="T160" s="11"/>
      <c r="U160" s="11"/>
      <c r="V160" s="11"/>
      <c r="W160" s="11">
        <f t="shared" si="185"/>
        <v>0</v>
      </c>
      <c r="X160" s="11"/>
      <c r="Y160" s="11"/>
      <c r="Z160" s="11"/>
      <c r="AA160" s="11"/>
      <c r="AB160" s="11"/>
      <c r="AC160" s="11">
        <f t="shared" si="193"/>
        <v>0</v>
      </c>
      <c r="AD160" s="11"/>
      <c r="AE160" s="11"/>
      <c r="AF160" s="168"/>
      <c r="AG160" s="11"/>
      <c r="AH160" s="11"/>
      <c r="AI160" s="11">
        <f t="shared" si="186"/>
        <v>0</v>
      </c>
      <c r="AJ160" s="11"/>
      <c r="AK160" s="11"/>
      <c r="AL160" s="11"/>
      <c r="AM160" s="11"/>
      <c r="AN160" s="11"/>
      <c r="AO160" s="11">
        <f t="shared" si="187"/>
        <v>0</v>
      </c>
      <c r="AP160" s="11"/>
      <c r="AQ160" s="11"/>
      <c r="AR160" s="11"/>
      <c r="AS160" s="11"/>
      <c r="AT160" s="11"/>
      <c r="AU160" s="11">
        <f t="shared" si="188"/>
        <v>0</v>
      </c>
      <c r="AV160" s="11"/>
      <c r="AW160" s="11"/>
      <c r="AX160" s="11"/>
      <c r="AY160" s="11"/>
      <c r="AZ160" s="11"/>
      <c r="BA160" s="11">
        <f t="shared" si="189"/>
        <v>0</v>
      </c>
      <c r="BB160" s="11"/>
      <c r="BC160" s="11"/>
      <c r="BD160" s="11"/>
      <c r="BE160" s="11"/>
      <c r="BF160" s="11"/>
      <c r="BG160" s="11">
        <f t="shared" si="190"/>
        <v>0</v>
      </c>
      <c r="BH160" s="11"/>
      <c r="BI160" s="11"/>
      <c r="BJ160" s="11"/>
      <c r="BK160" s="11"/>
      <c r="BL160" s="11"/>
      <c r="BM160" s="11">
        <f t="shared" si="196"/>
        <v>0</v>
      </c>
      <c r="BN160" s="11"/>
      <c r="BO160" s="11"/>
      <c r="BP160" s="11"/>
      <c r="BQ160" s="11"/>
      <c r="BR160" s="11"/>
      <c r="BS160" s="11">
        <f t="shared" si="191"/>
        <v>0</v>
      </c>
      <c r="BT160" s="11"/>
      <c r="BU160" s="11"/>
      <c r="BV160" s="11"/>
      <c r="BW160" s="11"/>
      <c r="BX160" s="11"/>
      <c r="BY160" s="11">
        <f t="shared" si="192"/>
        <v>0</v>
      </c>
      <c r="BZ160" s="11"/>
      <c r="CA160" s="11"/>
      <c r="CB160" s="11"/>
      <c r="CC160" s="33">
        <f t="shared" si="195"/>
        <v>0</v>
      </c>
      <c r="CD160" s="11"/>
    </row>
    <row r="161" spans="1:84">
      <c r="A161" s="242"/>
      <c r="B161" s="232"/>
      <c r="C161" s="232"/>
      <c r="D161" s="232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>
        <f t="shared" si="185"/>
        <v>0</v>
      </c>
      <c r="X161" s="11"/>
      <c r="Y161" s="11"/>
      <c r="Z161" s="11"/>
      <c r="AA161" s="11"/>
      <c r="AB161" s="11"/>
      <c r="AC161" s="11"/>
      <c r="AD161" s="11"/>
      <c r="AE161" s="11"/>
      <c r="AF161" s="168"/>
      <c r="AG161" s="11"/>
      <c r="AH161" s="11"/>
      <c r="AI161" s="11"/>
      <c r="AJ161" s="11"/>
      <c r="AK161" s="11"/>
      <c r="AL161" s="11"/>
      <c r="AM161" s="11"/>
      <c r="AN161" s="11"/>
      <c r="AO161" s="11">
        <f t="shared" si="187"/>
        <v>0</v>
      </c>
      <c r="AP161" s="11"/>
      <c r="AQ161" s="11"/>
      <c r="AR161" s="11"/>
      <c r="AS161" s="11"/>
      <c r="AT161" s="11"/>
      <c r="AU161" s="11">
        <f t="shared" si="188"/>
        <v>0</v>
      </c>
      <c r="AV161" s="11"/>
      <c r="AW161" s="11"/>
      <c r="AX161" s="11"/>
      <c r="AY161" s="11"/>
      <c r="AZ161" s="11"/>
      <c r="BA161" s="11">
        <f>SUM(AU161+AW161-AX161+AY161-AZ161)</f>
        <v>0</v>
      </c>
      <c r="BB161" s="11"/>
      <c r="BC161" s="11"/>
      <c r="BD161" s="11"/>
      <c r="BE161" s="11"/>
      <c r="BF161" s="11"/>
      <c r="BG161" s="11">
        <f t="shared" si="190"/>
        <v>0</v>
      </c>
      <c r="BH161" s="11"/>
      <c r="BI161" s="11"/>
      <c r="BJ161" s="11"/>
      <c r="BK161" s="11"/>
      <c r="BL161" s="11"/>
      <c r="BM161" s="11">
        <f t="shared" si="196"/>
        <v>0</v>
      </c>
      <c r="BN161" s="11"/>
      <c r="BO161" s="11"/>
      <c r="BP161" s="11"/>
      <c r="BQ161" s="11"/>
      <c r="BR161" s="11"/>
      <c r="BS161" s="11">
        <f t="shared" si="191"/>
        <v>0</v>
      </c>
      <c r="BT161" s="11"/>
      <c r="BU161" s="11"/>
      <c r="BV161" s="11"/>
      <c r="BW161" s="11"/>
      <c r="BX161" s="11"/>
      <c r="BY161" s="11">
        <f t="shared" si="192"/>
        <v>0</v>
      </c>
      <c r="BZ161" s="11"/>
      <c r="CA161" s="11"/>
      <c r="CB161" s="11"/>
      <c r="CC161" s="33">
        <f t="shared" si="195"/>
        <v>0</v>
      </c>
      <c r="CD161" s="11"/>
    </row>
    <row r="162" spans="1:84">
      <c r="A162" s="243"/>
      <c r="B162" s="232"/>
      <c r="C162" s="232"/>
      <c r="D162" s="232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68"/>
      <c r="AG162" s="11"/>
      <c r="AH162" s="11"/>
      <c r="AI162" s="11"/>
      <c r="AJ162" s="11"/>
      <c r="AK162" s="11"/>
      <c r="AL162" s="11"/>
      <c r="AM162" s="11"/>
      <c r="AN162" s="11"/>
      <c r="AO162" s="11">
        <f t="shared" si="187"/>
        <v>0</v>
      </c>
      <c r="AP162" s="11"/>
      <c r="AQ162" s="11"/>
      <c r="AR162" s="11"/>
      <c r="AS162" s="11"/>
      <c r="AT162" s="11"/>
      <c r="AU162" s="11">
        <f t="shared" si="188"/>
        <v>0</v>
      </c>
      <c r="AV162" s="11"/>
      <c r="AW162" s="11"/>
      <c r="AX162" s="11"/>
      <c r="AY162" s="11"/>
      <c r="AZ162" s="11"/>
      <c r="BA162" s="11">
        <f>SUM(AU162+AW162-AX162+AY162-AZ162)</f>
        <v>0</v>
      </c>
      <c r="BB162" s="11"/>
      <c r="BC162" s="11"/>
      <c r="BD162" s="11"/>
      <c r="BE162" s="11"/>
      <c r="BF162" s="11"/>
      <c r="BG162" s="11">
        <f t="shared" si="190"/>
        <v>0</v>
      </c>
      <c r="BH162" s="11"/>
      <c r="BI162" s="11"/>
      <c r="BJ162" s="11"/>
      <c r="BK162" s="11"/>
      <c r="BL162" s="11"/>
      <c r="BM162" s="11">
        <f t="shared" si="196"/>
        <v>0</v>
      </c>
      <c r="BN162" s="11"/>
      <c r="BO162" s="11"/>
      <c r="BP162" s="11"/>
      <c r="BQ162" s="11"/>
      <c r="BR162" s="11"/>
      <c r="BS162" s="11">
        <f t="shared" si="191"/>
        <v>0</v>
      </c>
      <c r="BT162" s="11"/>
      <c r="BU162" s="11"/>
      <c r="BV162" s="11"/>
      <c r="BW162" s="11"/>
      <c r="BX162" s="11"/>
      <c r="BY162" s="11">
        <f t="shared" si="192"/>
        <v>0</v>
      </c>
      <c r="BZ162" s="11"/>
      <c r="CA162" s="11"/>
      <c r="CB162" s="11"/>
      <c r="CC162" s="33">
        <f t="shared" si="195"/>
        <v>0</v>
      </c>
      <c r="CD162" s="11"/>
    </row>
    <row r="163" spans="1:84" s="145" customFormat="1">
      <c r="A163" s="394" t="s">
        <v>30</v>
      </c>
      <c r="B163" s="395"/>
      <c r="C163" s="395"/>
      <c r="D163" s="395"/>
      <c r="E163" s="142">
        <f t="shared" ref="E163:AP163" si="199">SUM(E119,E143)</f>
        <v>0</v>
      </c>
      <c r="F163" s="142">
        <f t="shared" si="199"/>
        <v>0</v>
      </c>
      <c r="G163" s="142">
        <f t="shared" si="199"/>
        <v>1165184.93</v>
      </c>
      <c r="H163" s="142">
        <f t="shared" si="199"/>
        <v>0</v>
      </c>
      <c r="I163" s="142">
        <f t="shared" si="199"/>
        <v>18786</v>
      </c>
      <c r="J163" s="142">
        <f t="shared" si="199"/>
        <v>0</v>
      </c>
      <c r="K163" s="142">
        <f t="shared" si="199"/>
        <v>1183970.93</v>
      </c>
      <c r="L163" s="142">
        <f t="shared" si="199"/>
        <v>0</v>
      </c>
      <c r="M163" s="142">
        <f t="shared" si="199"/>
        <v>2669550.71</v>
      </c>
      <c r="N163" s="142">
        <f t="shared" si="199"/>
        <v>0</v>
      </c>
      <c r="O163" s="142">
        <f t="shared" si="199"/>
        <v>2069380</v>
      </c>
      <c r="P163" s="142">
        <f t="shared" si="199"/>
        <v>0</v>
      </c>
      <c r="Q163" s="142">
        <f t="shared" si="199"/>
        <v>5922901.6399999997</v>
      </c>
      <c r="R163" s="142">
        <f t="shared" si="199"/>
        <v>0</v>
      </c>
      <c r="S163" s="142">
        <f t="shared" si="199"/>
        <v>2112272.69</v>
      </c>
      <c r="T163" s="142">
        <f t="shared" si="199"/>
        <v>0</v>
      </c>
      <c r="U163" s="142">
        <f t="shared" si="199"/>
        <v>818800</v>
      </c>
      <c r="V163" s="142">
        <f t="shared" si="199"/>
        <v>0</v>
      </c>
      <c r="W163" s="142">
        <f t="shared" si="199"/>
        <v>8853974.3300000001</v>
      </c>
      <c r="X163" s="142">
        <f t="shared" si="199"/>
        <v>0</v>
      </c>
      <c r="Y163" s="142">
        <f t="shared" si="199"/>
        <v>2855390.3</v>
      </c>
      <c r="Z163" s="142">
        <f t="shared" si="199"/>
        <v>0</v>
      </c>
      <c r="AA163" s="142">
        <f t="shared" si="199"/>
        <v>803200</v>
      </c>
      <c r="AB163" s="142">
        <f t="shared" si="199"/>
        <v>0</v>
      </c>
      <c r="AC163" s="142">
        <f t="shared" si="199"/>
        <v>12512564.629999999</v>
      </c>
      <c r="AD163" s="142">
        <f t="shared" si="199"/>
        <v>0</v>
      </c>
      <c r="AE163" s="142">
        <f t="shared" si="199"/>
        <v>2381917.79</v>
      </c>
      <c r="AF163" s="142">
        <f t="shared" si="199"/>
        <v>0</v>
      </c>
      <c r="AG163" s="142">
        <f t="shared" si="199"/>
        <v>845700</v>
      </c>
      <c r="AH163" s="142">
        <f t="shared" si="199"/>
        <v>0</v>
      </c>
      <c r="AI163" s="142">
        <f t="shared" si="199"/>
        <v>15740182.42</v>
      </c>
      <c r="AJ163" s="142">
        <f t="shared" si="199"/>
        <v>0</v>
      </c>
      <c r="AK163" s="142">
        <f t="shared" si="199"/>
        <v>0</v>
      </c>
      <c r="AL163" s="142">
        <f t="shared" si="199"/>
        <v>0</v>
      </c>
      <c r="AM163" s="143">
        <f t="shared" si="199"/>
        <v>0</v>
      </c>
      <c r="AN163" s="143">
        <f t="shared" si="199"/>
        <v>0</v>
      </c>
      <c r="AO163" s="142">
        <f t="shared" si="199"/>
        <v>15740182.42</v>
      </c>
      <c r="AP163" s="142">
        <f t="shared" si="199"/>
        <v>0</v>
      </c>
      <c r="AQ163" s="142">
        <f>SUM(AQ119,AQ143,AQ161)</f>
        <v>0</v>
      </c>
      <c r="AR163" s="142">
        <f>SUM(AR119,AR143)</f>
        <v>0</v>
      </c>
      <c r="AS163" s="142">
        <f>SUM(AS119,AS143)</f>
        <v>0</v>
      </c>
      <c r="AT163" s="142">
        <f>SUM(AT119,AT143)</f>
        <v>0</v>
      </c>
      <c r="AU163" s="142">
        <f>SUM(AU119,AU143,AU161)</f>
        <v>15740182.42</v>
      </c>
      <c r="AV163" s="142">
        <f>SUM(AV119,AV143)</f>
        <v>0</v>
      </c>
      <c r="AW163" s="142">
        <f>SUM(AW119,AW143,AW161,AW162)</f>
        <v>0</v>
      </c>
      <c r="AX163" s="142">
        <f>SUM(AX119,AX143)</f>
        <v>0</v>
      </c>
      <c r="AY163" s="142">
        <f>SUM(AY119,AY143)</f>
        <v>0</v>
      </c>
      <c r="AZ163" s="142">
        <f>SUM(AZ119,AZ143)</f>
        <v>0</v>
      </c>
      <c r="BA163" s="142">
        <f>SUM(BA119,BA143,BA161,BA162)</f>
        <v>15740182.42</v>
      </c>
      <c r="BB163" s="142">
        <f>SUM(BB119,BB143)</f>
        <v>0</v>
      </c>
      <c r="BC163" s="142">
        <f>SUM(BC119,BC143,BC162)</f>
        <v>0</v>
      </c>
      <c r="BD163" s="142">
        <f>SUM(BD119,BD143)</f>
        <v>0</v>
      </c>
      <c r="BE163" s="142">
        <f>SUM(BE119,BE143)</f>
        <v>0</v>
      </c>
      <c r="BF163" s="142">
        <f>SUM(BF119,BF143)</f>
        <v>0</v>
      </c>
      <c r="BG163" s="142">
        <f>SUM(BG119,BG143,BG161,BG162)</f>
        <v>15740182.42</v>
      </c>
      <c r="BH163" s="142">
        <f>SUM(BH119,BH143)</f>
        <v>0</v>
      </c>
      <c r="BI163" s="142">
        <f>SUM(BI119,BI143,BI162)</f>
        <v>0</v>
      </c>
      <c r="BJ163" s="142">
        <f>SUM(BJ119,BJ143)</f>
        <v>0</v>
      </c>
      <c r="BK163" s="142">
        <f>SUM(BK119,BK143)</f>
        <v>0</v>
      </c>
      <c r="BL163" s="142">
        <f>SUM(BL119,BL143)</f>
        <v>0</v>
      </c>
      <c r="BM163" s="142">
        <f>SUM(BM119,BM143,BM161,BM162)</f>
        <v>15740182.42</v>
      </c>
      <c r="BN163" s="142">
        <f>SUM(BN119,BN143)</f>
        <v>0</v>
      </c>
      <c r="BO163" s="142">
        <f>SUM(BO119,BO143)</f>
        <v>0</v>
      </c>
      <c r="BP163" s="142">
        <f>SUM(BP119,BP143)</f>
        <v>0</v>
      </c>
      <c r="BQ163" s="142">
        <f>SUM(BQ119,BQ143)</f>
        <v>0</v>
      </c>
      <c r="BR163" s="142">
        <f>SUM(BR119,BR143,BR161,BR162)</f>
        <v>0</v>
      </c>
      <c r="BS163" s="142">
        <f>SUM(BS119,BS143,BS161,BS162)</f>
        <v>15740182.42</v>
      </c>
      <c r="BT163" s="142">
        <f>SUM(BT119,BT143)</f>
        <v>0</v>
      </c>
      <c r="BU163" s="142">
        <f>SUM(BU119,BU143)</f>
        <v>0</v>
      </c>
      <c r="BV163" s="142">
        <f>SUM(BV119,BV143)</f>
        <v>0</v>
      </c>
      <c r="BW163" s="142">
        <f>SUM(BW119,BW143)</f>
        <v>0</v>
      </c>
      <c r="BX163" s="142">
        <f>SUM(BX119,BX143)</f>
        <v>0</v>
      </c>
      <c r="BY163" s="142">
        <f>SUM(BY119,BY143,BY161,BY162)</f>
        <v>15740182.42</v>
      </c>
      <c r="BZ163" s="142">
        <f>SUM(BZ119,BZ143)</f>
        <v>0</v>
      </c>
      <c r="CA163" s="143">
        <f>SUM(CA119,CA143)</f>
        <v>0</v>
      </c>
      <c r="CB163" s="143">
        <f>SUM(CB119,CB143)</f>
        <v>0</v>
      </c>
      <c r="CC163" s="142">
        <f>SUM(CC119,CC143,CC161,CC162)</f>
        <v>15740182.42</v>
      </c>
      <c r="CD163" s="142">
        <f>SUM(CD119,CD143)</f>
        <v>0</v>
      </c>
      <c r="CE163" s="144"/>
      <c r="CF163" s="144"/>
    </row>
    <row r="164" spans="1:84" s="53" customFormat="1">
      <c r="A164" s="54"/>
      <c r="B164" s="52"/>
      <c r="C164" s="52"/>
      <c r="D164" s="52"/>
      <c r="E164" s="44"/>
      <c r="F164" s="44"/>
      <c r="G164" s="44"/>
      <c r="H164" s="44"/>
      <c r="I164" s="44"/>
      <c r="J164" s="44"/>
      <c r="K164" s="44"/>
      <c r="L164" s="11">
        <f>SUM(F164-G164+H164-I164+J164)</f>
        <v>0</v>
      </c>
      <c r="M164" s="44"/>
      <c r="N164" s="44"/>
      <c r="O164" s="44"/>
      <c r="P164" s="44"/>
      <c r="Q164" s="44"/>
      <c r="R164" s="11">
        <f>SUM(L164-M164+N164-O164+P164)</f>
        <v>0</v>
      </c>
      <c r="S164" s="44"/>
      <c r="T164" s="44"/>
      <c r="U164" s="44"/>
      <c r="V164" s="44"/>
      <c r="W164" s="44"/>
      <c r="X164" s="11">
        <f>SUM(R164-S164+T164-U164+V164)</f>
        <v>0</v>
      </c>
      <c r="Y164" s="44"/>
      <c r="Z164" s="44"/>
      <c r="AA164" s="44"/>
      <c r="AB164" s="44"/>
      <c r="AC164" s="44"/>
      <c r="AD164" s="11">
        <f>SUM(X164-Y164+Z164-AA164+AB164)</f>
        <v>0</v>
      </c>
      <c r="AE164" s="44"/>
      <c r="AF164" s="175"/>
      <c r="AG164" s="44"/>
      <c r="AH164" s="44"/>
      <c r="AI164" s="44"/>
      <c r="AJ164" s="169">
        <f>SUM(AD164-AE164+AF164-AG164+AH164)</f>
        <v>0</v>
      </c>
      <c r="AK164" s="44"/>
      <c r="AL164" s="44"/>
      <c r="AM164" s="87"/>
      <c r="AN164" s="87"/>
      <c r="AO164" s="44"/>
      <c r="AP164" s="11">
        <f>SUM(AJ164-AK164+AL164-AM164+AN164)</f>
        <v>0</v>
      </c>
      <c r="AQ164" s="44"/>
      <c r="AR164" s="44"/>
      <c r="AS164" s="44"/>
      <c r="AT164" s="44"/>
      <c r="AU164" s="44"/>
      <c r="AV164" s="11">
        <f>SUM(AP164-AQ164+AR164-AS164+AT164)</f>
        <v>0</v>
      </c>
      <c r="AW164" s="44"/>
      <c r="AX164" s="44"/>
      <c r="AY164" s="44"/>
      <c r="AZ164" s="44"/>
      <c r="BA164" s="44"/>
      <c r="BB164" s="11">
        <f>SUM(AV164-AW164+AX164-AY164+AZ164)</f>
        <v>0</v>
      </c>
      <c r="BC164" s="44"/>
      <c r="BD164" s="44"/>
      <c r="BE164" s="44"/>
      <c r="BF164" s="44"/>
      <c r="BG164" s="44"/>
      <c r="BH164" s="11">
        <f>SUM(BB164-BC164+BD164-BE164+BF164)</f>
        <v>0</v>
      </c>
      <c r="BI164" s="44"/>
      <c r="BJ164" s="44"/>
      <c r="BK164" s="44"/>
      <c r="BL164" s="44"/>
      <c r="BM164" s="44"/>
      <c r="BN164" s="11">
        <f>SUM(BH164-BI164+BJ164-BK164+BL164)</f>
        <v>0</v>
      </c>
      <c r="BO164" s="44"/>
      <c r="BP164" s="44"/>
      <c r="BQ164" s="44"/>
      <c r="BR164" s="44"/>
      <c r="BS164" s="44"/>
      <c r="BT164" s="11">
        <f>SUM(BN164-BO164+BP164-BQ164+BR164)</f>
        <v>0</v>
      </c>
      <c r="BU164" s="44"/>
      <c r="BV164" s="44"/>
      <c r="BW164" s="44"/>
      <c r="BX164" s="44"/>
      <c r="BY164" s="44"/>
      <c r="BZ164" s="11">
        <f>SUM(BT164-BU164+BV164-BW164+BX164)</f>
        <v>0</v>
      </c>
      <c r="CA164" s="87">
        <v>0</v>
      </c>
      <c r="CB164" s="87">
        <v>0</v>
      </c>
      <c r="CC164" s="44"/>
      <c r="CD164" s="11">
        <f>SUM(BX164-BY164+BZ164-CA164+CB164)</f>
        <v>0</v>
      </c>
      <c r="CE164" s="90"/>
      <c r="CF164" s="90"/>
    </row>
    <row r="165" spans="1:84" s="145" customFormat="1">
      <c r="A165" s="394" t="s">
        <v>92</v>
      </c>
      <c r="B165" s="395"/>
      <c r="C165" s="395"/>
      <c r="D165" s="395"/>
      <c r="E165" s="142">
        <f>SUM(E25,E52,E117,E163)</f>
        <v>55055089.750000007</v>
      </c>
      <c r="F165" s="142">
        <f>SUM(F25,F52,F117,F163)</f>
        <v>55055089.75</v>
      </c>
      <c r="G165" s="142">
        <f t="shared" ref="G165:AL165" si="200">SUM(G25,G52,G117,G163+G164)</f>
        <v>5177365.1899999995</v>
      </c>
      <c r="H165" s="142">
        <f t="shared" si="200"/>
        <v>5177365.1899999995</v>
      </c>
      <c r="I165" s="142">
        <f t="shared" si="200"/>
        <v>3752844.35</v>
      </c>
      <c r="J165" s="142">
        <f t="shared" si="200"/>
        <v>3752844.35</v>
      </c>
      <c r="K165" s="142">
        <f t="shared" si="200"/>
        <v>55067202.980000004</v>
      </c>
      <c r="L165" s="142">
        <f t="shared" si="200"/>
        <v>55067202.979999989</v>
      </c>
      <c r="M165" s="142">
        <f t="shared" si="200"/>
        <v>16208612.370000001</v>
      </c>
      <c r="N165" s="142">
        <f t="shared" si="200"/>
        <v>16208612.370000001</v>
      </c>
      <c r="O165" s="142">
        <f t="shared" si="200"/>
        <v>10231615.050000001</v>
      </c>
      <c r="P165" s="142">
        <f t="shared" si="200"/>
        <v>10231615.049999999</v>
      </c>
      <c r="Q165" s="142">
        <f t="shared" si="200"/>
        <v>64579976.110000007</v>
      </c>
      <c r="R165" s="142">
        <f t="shared" si="200"/>
        <v>64579976.109999999</v>
      </c>
      <c r="S165" s="142">
        <f t="shared" si="200"/>
        <v>8491817.7400000002</v>
      </c>
      <c r="T165" s="142">
        <f t="shared" si="200"/>
        <v>8491817.7400000002</v>
      </c>
      <c r="U165" s="142">
        <f t="shared" si="200"/>
        <v>13749066.630000001</v>
      </c>
      <c r="V165" s="142">
        <f t="shared" si="200"/>
        <v>13749066.630000001</v>
      </c>
      <c r="W165" s="142">
        <f t="shared" si="200"/>
        <v>66555637.370000005</v>
      </c>
      <c r="X165" s="142">
        <f t="shared" si="200"/>
        <v>66555637.369999997</v>
      </c>
      <c r="Y165" s="142">
        <f t="shared" si="200"/>
        <v>11707613.740000002</v>
      </c>
      <c r="Z165" s="142">
        <f t="shared" si="200"/>
        <v>11707613.739999998</v>
      </c>
      <c r="AA165" s="142">
        <f>SUM(AA25,AA52,AA117,AA163+AA164)</f>
        <v>5149928.459999999</v>
      </c>
      <c r="AB165" s="142">
        <f>SUM(AB25,AB52,AB117,AB163+AB164)</f>
        <v>5149928.459999999</v>
      </c>
      <c r="AC165" s="142">
        <f>SUM(AC25,AC52,AC117,AC163+AC164)</f>
        <v>73327129.690000013</v>
      </c>
      <c r="AD165" s="142">
        <f>SUM(AD25,AD52,AD117,AD163+AD164)</f>
        <v>73327129.689999998</v>
      </c>
      <c r="AE165" s="142">
        <f t="shared" si="200"/>
        <v>6556703.2199999997</v>
      </c>
      <c r="AF165" s="142">
        <f t="shared" si="200"/>
        <v>6552703.2200000007</v>
      </c>
      <c r="AG165" s="142">
        <f t="shared" si="200"/>
        <v>5500060.9500000002</v>
      </c>
      <c r="AH165" s="142">
        <f t="shared" si="200"/>
        <v>5504060.4400000004</v>
      </c>
      <c r="AI165" s="142">
        <f t="shared" si="200"/>
        <v>73831617.410000011</v>
      </c>
      <c r="AJ165" s="142">
        <f t="shared" si="200"/>
        <v>73831617.409999996</v>
      </c>
      <c r="AK165" s="142">
        <f t="shared" si="200"/>
        <v>0</v>
      </c>
      <c r="AL165" s="142">
        <f t="shared" si="200"/>
        <v>0</v>
      </c>
      <c r="AM165" s="143">
        <f t="shared" ref="AM165:BR165" si="201">SUM(AM25,AM52,AM117,AM163+AM164)</f>
        <v>0</v>
      </c>
      <c r="AN165" s="143">
        <f t="shared" si="201"/>
        <v>0</v>
      </c>
      <c r="AO165" s="142">
        <f t="shared" si="201"/>
        <v>73831617.410000011</v>
      </c>
      <c r="AP165" s="142">
        <f t="shared" si="201"/>
        <v>73831617.409999996</v>
      </c>
      <c r="AQ165" s="142">
        <f t="shared" si="201"/>
        <v>0</v>
      </c>
      <c r="AR165" s="142">
        <f t="shared" si="201"/>
        <v>0</v>
      </c>
      <c r="AS165" s="142">
        <f t="shared" si="201"/>
        <v>0</v>
      </c>
      <c r="AT165" s="142">
        <f t="shared" si="201"/>
        <v>0</v>
      </c>
      <c r="AU165" s="142">
        <f t="shared" si="201"/>
        <v>73831617.410000011</v>
      </c>
      <c r="AV165" s="142">
        <f t="shared" si="201"/>
        <v>73831617.409999996</v>
      </c>
      <c r="AW165" s="142">
        <f t="shared" si="201"/>
        <v>0</v>
      </c>
      <c r="AX165" s="142">
        <f t="shared" si="201"/>
        <v>0</v>
      </c>
      <c r="AY165" s="142">
        <f t="shared" si="201"/>
        <v>0</v>
      </c>
      <c r="AZ165" s="142">
        <f t="shared" si="201"/>
        <v>0</v>
      </c>
      <c r="BA165" s="142">
        <f t="shared" si="201"/>
        <v>73831617.410000011</v>
      </c>
      <c r="BB165" s="142">
        <f t="shared" si="201"/>
        <v>73831617.409999996</v>
      </c>
      <c r="BC165" s="142">
        <f t="shared" si="201"/>
        <v>0</v>
      </c>
      <c r="BD165" s="142">
        <f t="shared" si="201"/>
        <v>0</v>
      </c>
      <c r="BE165" s="142">
        <f t="shared" si="201"/>
        <v>0</v>
      </c>
      <c r="BF165" s="142">
        <f t="shared" si="201"/>
        <v>0</v>
      </c>
      <c r="BG165" s="142">
        <f t="shared" si="201"/>
        <v>73831617.410000011</v>
      </c>
      <c r="BH165" s="142">
        <f t="shared" si="201"/>
        <v>73831617.409999996</v>
      </c>
      <c r="BI165" s="142">
        <f t="shared" si="201"/>
        <v>0</v>
      </c>
      <c r="BJ165" s="142">
        <f t="shared" si="201"/>
        <v>0</v>
      </c>
      <c r="BK165" s="142">
        <f t="shared" si="201"/>
        <v>0</v>
      </c>
      <c r="BL165" s="142">
        <f t="shared" si="201"/>
        <v>0</v>
      </c>
      <c r="BM165" s="142">
        <f t="shared" si="201"/>
        <v>73831617.410000011</v>
      </c>
      <c r="BN165" s="142">
        <f t="shared" si="201"/>
        <v>73831617.409999996</v>
      </c>
      <c r="BO165" s="142">
        <f t="shared" si="201"/>
        <v>0</v>
      </c>
      <c r="BP165" s="142">
        <f t="shared" si="201"/>
        <v>0</v>
      </c>
      <c r="BQ165" s="142">
        <f t="shared" si="201"/>
        <v>0</v>
      </c>
      <c r="BR165" s="142">
        <f t="shared" si="201"/>
        <v>0</v>
      </c>
      <c r="BS165" s="142">
        <f t="shared" ref="BS165:CD165" si="202">SUM(BS25,BS52,BS117,BS163+BS164)</f>
        <v>73831617.410000011</v>
      </c>
      <c r="BT165" s="142">
        <f t="shared" si="202"/>
        <v>73831617.409999996</v>
      </c>
      <c r="BU165" s="142">
        <f t="shared" si="202"/>
        <v>0</v>
      </c>
      <c r="BV165" s="142">
        <f t="shared" si="202"/>
        <v>0</v>
      </c>
      <c r="BW165" s="142">
        <f t="shared" si="202"/>
        <v>0</v>
      </c>
      <c r="BX165" s="142">
        <f t="shared" si="202"/>
        <v>0</v>
      </c>
      <c r="BY165" s="142">
        <f t="shared" si="202"/>
        <v>73831617.410000011</v>
      </c>
      <c r="BZ165" s="142">
        <f t="shared" si="202"/>
        <v>73831617.409999996</v>
      </c>
      <c r="CA165" s="143">
        <f t="shared" si="202"/>
        <v>0</v>
      </c>
      <c r="CB165" s="143">
        <f t="shared" si="202"/>
        <v>0</v>
      </c>
      <c r="CC165" s="142">
        <f t="shared" si="202"/>
        <v>73831617.410000011</v>
      </c>
      <c r="CD165" s="142">
        <f t="shared" si="202"/>
        <v>73831617.409999996</v>
      </c>
      <c r="CE165" s="144"/>
      <c r="CF165" s="144"/>
    </row>
    <row r="166" spans="1:84">
      <c r="F166" s="28">
        <f>SUM(E165-F165)</f>
        <v>7.4505805969238281E-9</v>
      </c>
      <c r="H166" s="28">
        <f>SUM(G165-H165)</f>
        <v>0</v>
      </c>
      <c r="I166" s="28"/>
      <c r="J166" s="28">
        <f>+J165-I165</f>
        <v>0</v>
      </c>
      <c r="L166" s="28">
        <f>SUM(K165-L165)</f>
        <v>1.4901161193847656E-8</v>
      </c>
      <c r="N166" s="28">
        <f>SUM(M165-N165)</f>
        <v>0</v>
      </c>
      <c r="O166" s="28"/>
      <c r="P166" s="28">
        <f>+P165-O165</f>
        <v>0</v>
      </c>
      <c r="R166" s="28">
        <f>SUM(Q165-R165)</f>
        <v>7.4505805969238281E-9</v>
      </c>
      <c r="T166" s="28">
        <f>SUM(S165-T165)</f>
        <v>0</v>
      </c>
      <c r="U166" s="28"/>
      <c r="V166" s="28">
        <f>SUM(U165-V165)</f>
        <v>0</v>
      </c>
      <c r="X166" s="28">
        <f>SUM(W165-X165)</f>
        <v>7.4505805969238281E-9</v>
      </c>
      <c r="Z166" s="28">
        <f>SUM(Y165-Z165)</f>
        <v>3.7252902984619141E-9</v>
      </c>
      <c r="AA166" s="28"/>
      <c r="AB166" s="28">
        <f>SUM(AA165-AB165)</f>
        <v>0</v>
      </c>
      <c r="AD166" s="28">
        <f>SUM(AC165-AD165)</f>
        <v>1.4901161193847656E-8</v>
      </c>
      <c r="AF166" s="177">
        <f>SUM(AE165-AF165)</f>
        <v>3999.9999999990687</v>
      </c>
      <c r="AG166" s="28"/>
      <c r="AH166" s="28" t="s">
        <v>217</v>
      </c>
      <c r="AJ166" s="28">
        <f>SUM(AI165-AJ165)</f>
        <v>1.4901161193847656E-8</v>
      </c>
      <c r="AL166" s="28">
        <f>SUM(AK165-AL165)</f>
        <v>0</v>
      </c>
      <c r="AM166" s="28"/>
      <c r="AN166" s="28">
        <f>SUM(AM165-AN165)</f>
        <v>0</v>
      </c>
      <c r="AP166" s="28">
        <f>SUM(AO165-AP165)</f>
        <v>1.4901161193847656E-8</v>
      </c>
      <c r="AR166" s="28">
        <f>SUM(AQ165-AR165)</f>
        <v>0</v>
      </c>
      <c r="AS166" s="28"/>
      <c r="AT166" s="28">
        <f>SUM(AS165-AT165)</f>
        <v>0</v>
      </c>
      <c r="AV166" s="28">
        <f>SUM(AU165-AV165)</f>
        <v>1.4901161193847656E-8</v>
      </c>
      <c r="AX166" s="28">
        <f>SUM(AW165-AX165)</f>
        <v>0</v>
      </c>
      <c r="AY166" s="28"/>
      <c r="AZ166" s="28">
        <f>SUM(AY165-AZ165)</f>
        <v>0</v>
      </c>
      <c r="BB166" s="28">
        <f>SUM(BA165-BB165)</f>
        <v>1.4901161193847656E-8</v>
      </c>
      <c r="BD166" s="28">
        <f>SUM(BC165-BD165)</f>
        <v>0</v>
      </c>
      <c r="BE166" s="28"/>
      <c r="BF166" s="28">
        <f>SUM(BE165-BF165)</f>
        <v>0</v>
      </c>
      <c r="BH166" s="28">
        <f>SUM(BG165-BH165)</f>
        <v>1.4901161193847656E-8</v>
      </c>
      <c r="BJ166" s="28">
        <f>SUM(BI165-BJ165)</f>
        <v>0</v>
      </c>
      <c r="BK166" s="28"/>
      <c r="BL166" s="28">
        <f>SUM(BK165-BL165)</f>
        <v>0</v>
      </c>
      <c r="BN166" s="28">
        <f>SUM(BM165-BN165)</f>
        <v>1.4901161193847656E-8</v>
      </c>
      <c r="BP166" s="28">
        <f>SUM(BO165-BP165)</f>
        <v>0</v>
      </c>
      <c r="BQ166" s="28"/>
      <c r="BR166" s="28">
        <f>SUM(BQ165-BR165)</f>
        <v>0</v>
      </c>
      <c r="BT166" s="28">
        <f>SUM(BS165-BT165)</f>
        <v>1.4901161193847656E-8</v>
      </c>
      <c r="BV166" s="28">
        <f>SUM(BU165-BV165)</f>
        <v>0</v>
      </c>
      <c r="BW166" s="28"/>
      <c r="BX166" s="28">
        <f>SUM(BW165-BX165)</f>
        <v>0</v>
      </c>
      <c r="BZ166" s="28">
        <f>SUM(BY165-BZ165)</f>
        <v>1.4901161193847656E-8</v>
      </c>
      <c r="CA166" s="28"/>
      <c r="CB166" s="28">
        <f>SUM(CA165-CB165)</f>
        <v>0</v>
      </c>
      <c r="CD166" s="28">
        <f>SUM(CC165-CD165)</f>
        <v>1.4901161193847656E-8</v>
      </c>
    </row>
    <row r="167" spans="1:84">
      <c r="W167" s="6">
        <f>+W165-66121792.27</f>
        <v>433845.10000000149</v>
      </c>
      <c r="AL167" s="6" t="s">
        <v>311</v>
      </c>
      <c r="AM167" s="241" t="e">
        <f>+AK130+AK131+#REF!+#REF!</f>
        <v>#REF!</v>
      </c>
      <c r="BH167" s="6">
        <f>+BG165-BH165</f>
        <v>0</v>
      </c>
      <c r="BR167" s="6" t="s">
        <v>311</v>
      </c>
      <c r="BS167" s="6" t="e">
        <f>+BO130+BO131+#REF!+#REF!</f>
        <v>#REF!</v>
      </c>
      <c r="CF167" s="6">
        <v>29884592.399999999</v>
      </c>
    </row>
    <row r="168" spans="1:84">
      <c r="AL168" s="6" t="s">
        <v>312</v>
      </c>
      <c r="AM168" s="241">
        <f>+AK120+AK132+AK133+AK134+AK135+AK138+AK139+AM132+AM133</f>
        <v>0</v>
      </c>
      <c r="BC168" s="6" t="s">
        <v>311</v>
      </c>
      <c r="BD168" s="6">
        <f>SUM(BC130:BC131)</f>
        <v>0</v>
      </c>
      <c r="BM168" s="6" t="s">
        <v>311</v>
      </c>
      <c r="BN168" s="6" t="e">
        <f>+BI130+BI131+#REF!+#REF!</f>
        <v>#REF!</v>
      </c>
      <c r="BR168" s="6" t="s">
        <v>312</v>
      </c>
      <c r="BS168" s="6">
        <f>+BO132+BO133+BO134+BO135+-BP133</f>
        <v>0</v>
      </c>
    </row>
    <row r="169" spans="1:84">
      <c r="AL169" s="6" t="s">
        <v>313</v>
      </c>
      <c r="AM169" s="241">
        <f>+AK136</f>
        <v>0</v>
      </c>
      <c r="AY169" s="6">
        <f>1510+40000</f>
        <v>41510</v>
      </c>
      <c r="BC169" s="6" t="s">
        <v>312</v>
      </c>
      <c r="BD169" s="6">
        <f>SUM(BC132:BC135,BC120,BE132)</f>
        <v>0</v>
      </c>
      <c r="BM169" s="6" t="s">
        <v>312</v>
      </c>
      <c r="BN169" s="6">
        <f>+BI120+BI132+BI133+BI134+BI135</f>
        <v>0</v>
      </c>
      <c r="BR169" s="6" t="s">
        <v>322</v>
      </c>
    </row>
    <row r="170" spans="1:84">
      <c r="AL170" s="6" t="s">
        <v>314</v>
      </c>
      <c r="AM170" s="241">
        <f>+AK137</f>
        <v>0</v>
      </c>
      <c r="BC170" s="6" t="s">
        <v>322</v>
      </c>
      <c r="BD170" s="6">
        <f>SUM(BC136:BC137)</f>
        <v>0</v>
      </c>
      <c r="BM170" s="6" t="s">
        <v>322</v>
      </c>
      <c r="BN170" s="6">
        <f>+BI136+BI137</f>
        <v>0</v>
      </c>
    </row>
    <row r="171" spans="1:84" ht="19.5" thickBot="1">
      <c r="AF171" s="240"/>
      <c r="AM171" s="6" t="e">
        <f>SUM(AM167:AM170)</f>
        <v>#REF!</v>
      </c>
      <c r="BD171" s="6">
        <f>SUM(BD168:BD170)</f>
        <v>0</v>
      </c>
    </row>
    <row r="172" spans="1:84" ht="19.5" thickTop="1">
      <c r="AM172" s="6">
        <f>+AK119+AM119</f>
        <v>0</v>
      </c>
      <c r="AS172" s="6">
        <f>1660460.63-1657662.43</f>
        <v>2798.1999999999534</v>
      </c>
    </row>
    <row r="173" spans="1:84">
      <c r="AF173" s="178">
        <f>+AF172-AF171</f>
        <v>0</v>
      </c>
    </row>
    <row r="175" spans="1:84">
      <c r="AN175" s="6" t="s">
        <v>309</v>
      </c>
      <c r="AP175" s="6">
        <f>+AO144+AO151+AO152+AO153</f>
        <v>5511400.3300000001</v>
      </c>
    </row>
  </sheetData>
  <mergeCells count="64">
    <mergeCell ref="A21:D21"/>
    <mergeCell ref="A17:D17"/>
    <mergeCell ref="B35:D35"/>
    <mergeCell ref="A46:D46"/>
    <mergeCell ref="CC1:CD1"/>
    <mergeCell ref="BG1:BH1"/>
    <mergeCell ref="BE1:BF1"/>
    <mergeCell ref="BY1:BZ1"/>
    <mergeCell ref="BI1:BJ1"/>
    <mergeCell ref="BM1:BN1"/>
    <mergeCell ref="BO1:BP1"/>
    <mergeCell ref="BS1:BT1"/>
    <mergeCell ref="BK1:BL1"/>
    <mergeCell ref="CA1:CB1"/>
    <mergeCell ref="BQ1:BR1"/>
    <mergeCell ref="BW1:BX1"/>
    <mergeCell ref="BU1:BV1"/>
    <mergeCell ref="BC1:BD1"/>
    <mergeCell ref="AQ1:AR1"/>
    <mergeCell ref="AU1:AV1"/>
    <mergeCell ref="AW1:AX1"/>
    <mergeCell ref="BA1:BB1"/>
    <mergeCell ref="AS1:AT1"/>
    <mergeCell ref="AY1:AZ1"/>
    <mergeCell ref="A165:D165"/>
    <mergeCell ref="A26:D26"/>
    <mergeCell ref="A52:D52"/>
    <mergeCell ref="A53:D53"/>
    <mergeCell ref="A117:D117"/>
    <mergeCell ref="A118:D118"/>
    <mergeCell ref="A163:D163"/>
    <mergeCell ref="A160:D160"/>
    <mergeCell ref="B42:D42"/>
    <mergeCell ref="C102:D102"/>
    <mergeCell ref="A158:D158"/>
    <mergeCell ref="A159:D159"/>
    <mergeCell ref="B45:D45"/>
    <mergeCell ref="B129:D129"/>
    <mergeCell ref="B41:D41"/>
    <mergeCell ref="A3:D3"/>
    <mergeCell ref="A25:D25"/>
    <mergeCell ref="W1:X1"/>
    <mergeCell ref="S1:T1"/>
    <mergeCell ref="M1:N1"/>
    <mergeCell ref="Q1:R1"/>
    <mergeCell ref="A1:D2"/>
    <mergeCell ref="E1:F1"/>
    <mergeCell ref="G1:H1"/>
    <mergeCell ref="K1:L1"/>
    <mergeCell ref="I1:J1"/>
    <mergeCell ref="O1:P1"/>
    <mergeCell ref="U1:V1"/>
    <mergeCell ref="A24:D24"/>
    <mergeCell ref="A19:D19"/>
    <mergeCell ref="A20:D20"/>
    <mergeCell ref="AO1:AP1"/>
    <mergeCell ref="Y1:Z1"/>
    <mergeCell ref="AC1:AD1"/>
    <mergeCell ref="AE1:AF1"/>
    <mergeCell ref="AI1:AJ1"/>
    <mergeCell ref="AG1:AH1"/>
    <mergeCell ref="AM1:AN1"/>
    <mergeCell ref="AA1:AB1"/>
    <mergeCell ref="AK1:AL1"/>
  </mergeCells>
  <phoneticPr fontId="2" type="noConversion"/>
  <pageMargins left="1.0629921259842521" right="0.19685039370078741" top="1.3779527559055118" bottom="0.19685039370078741" header="0.59055118110236227" footer="0.62992125984251968"/>
  <pageSetup paperSize="9" scale="80" orientation="landscape" horizontalDpi="300" verticalDpi="300" r:id="rId1"/>
  <headerFooter alignWithMargins="0">
    <oddHeader xml:space="preserve">&amp;C&amp;"TH SarabunPSK,ธรรมดา"&amp;14เทศบาลตำบลเขาพระ อำเภอพิปูน จังหวัดนครศรีธรรมราช
งบดุลบัญชี
ปีงบประมาณ 2559&amp;"Arial,ธรรมดา"&amp;10
</oddHeader>
  </headerFooter>
  <rowBreaks count="7" manualBreakCount="7">
    <brk id="29" max="81" man="1"/>
    <brk id="52" max="81" man="1"/>
    <brk id="76" max="81" man="1"/>
    <brk id="98" max="81" man="1"/>
    <brk id="117" max="81" man="1"/>
    <brk id="142" max="81" man="1"/>
    <brk id="165" max="81" man="1"/>
  </rowBreaks>
  <colBreaks count="11" manualBreakCount="11">
    <brk id="12" max="164" man="1"/>
    <brk id="18" max="163" man="1"/>
    <brk id="24" max="163" man="1"/>
    <brk id="30" max="163" man="1"/>
    <brk id="39" max="163" man="1"/>
    <brk id="42" max="164" man="1"/>
    <brk id="48" max="164" man="1"/>
    <brk id="54" max="164" man="1"/>
    <brk id="60" max="164" man="1"/>
    <brk id="66" max="164" man="1"/>
    <brk id="72" max="1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H343"/>
  <sheetViews>
    <sheetView view="pageBreakPreview" topLeftCell="A308" zoomScale="110" zoomScaleSheetLayoutView="110" workbookViewId="0">
      <selection activeCell="G329" sqref="G329"/>
    </sheetView>
  </sheetViews>
  <sheetFormatPr defaultRowHeight="18.75"/>
  <cols>
    <col min="1" max="1" width="12" style="185" customWidth="1"/>
    <col min="2" max="2" width="12.42578125" style="185" customWidth="1"/>
    <col min="3" max="3" width="12.28515625" style="185" customWidth="1"/>
    <col min="4" max="4" width="12.5703125" style="185" customWidth="1"/>
    <col min="5" max="5" width="40.28515625" style="185" customWidth="1"/>
    <col min="6" max="6" width="10.42578125" style="185" customWidth="1"/>
    <col min="7" max="7" width="13.140625" style="185" customWidth="1"/>
    <col min="8" max="8" width="12.28515625" style="6" bestFit="1" customWidth="1"/>
    <col min="9" max="9" width="9.5703125" style="5" bestFit="1" customWidth="1"/>
    <col min="10" max="16384" width="9.140625" style="5"/>
  </cols>
  <sheetData>
    <row r="1" spans="1:8">
      <c r="A1" s="414" t="s">
        <v>28</v>
      </c>
      <c r="B1" s="414"/>
      <c r="C1" s="414"/>
      <c r="D1" s="414"/>
      <c r="E1" s="414"/>
      <c r="F1" s="414"/>
      <c r="G1" s="414"/>
    </row>
    <row r="2" spans="1:8">
      <c r="A2" s="414" t="s">
        <v>383</v>
      </c>
      <c r="B2" s="414"/>
      <c r="C2" s="414"/>
      <c r="D2" s="414"/>
      <c r="E2" s="414"/>
      <c r="F2" s="414"/>
      <c r="G2" s="414"/>
    </row>
    <row r="3" spans="1:8">
      <c r="A3" s="414" t="s">
        <v>370</v>
      </c>
      <c r="B3" s="414"/>
      <c r="C3" s="414"/>
      <c r="D3" s="414"/>
      <c r="E3" s="414"/>
      <c r="F3" s="414"/>
      <c r="G3" s="414"/>
    </row>
    <row r="4" spans="1:8">
      <c r="G4" s="263"/>
    </row>
    <row r="5" spans="1:8">
      <c r="A5" s="410" t="s">
        <v>111</v>
      </c>
      <c r="B5" s="410"/>
      <c r="C5" s="410"/>
      <c r="D5" s="410"/>
      <c r="E5" s="411" t="s">
        <v>0</v>
      </c>
      <c r="F5" s="411" t="s">
        <v>109</v>
      </c>
      <c r="G5" s="413" t="s">
        <v>375</v>
      </c>
    </row>
    <row r="6" spans="1:8" s="287" customFormat="1" ht="57" thickBot="1">
      <c r="A6" s="285" t="s">
        <v>372</v>
      </c>
      <c r="B6" s="285" t="s">
        <v>371</v>
      </c>
      <c r="C6" s="285" t="s">
        <v>374</v>
      </c>
      <c r="D6" s="285" t="s">
        <v>373</v>
      </c>
      <c r="E6" s="412"/>
      <c r="F6" s="412"/>
      <c r="G6" s="412"/>
      <c r="H6" s="286"/>
    </row>
    <row r="7" spans="1:8" ht="19.5" thickTop="1">
      <c r="A7" s="310"/>
      <c r="B7" s="187"/>
      <c r="C7" s="187"/>
      <c r="D7" s="190">
        <v>30620913.34</v>
      </c>
      <c r="E7" s="181" t="s">
        <v>112</v>
      </c>
      <c r="F7" s="182"/>
      <c r="G7" s="190">
        <v>30620913.34</v>
      </c>
    </row>
    <row r="8" spans="1:8">
      <c r="A8" s="187"/>
      <c r="B8" s="187"/>
      <c r="C8" s="187"/>
      <c r="D8" s="187"/>
      <c r="E8" s="181" t="s">
        <v>113</v>
      </c>
      <c r="F8" s="182"/>
      <c r="G8" s="187"/>
    </row>
    <row r="9" spans="1:8">
      <c r="A9" s="188">
        <v>198000</v>
      </c>
      <c r="B9" s="188"/>
      <c r="C9" s="188">
        <f>+A9</f>
        <v>198000</v>
      </c>
      <c r="D9" s="188">
        <f>+G9</f>
        <v>0</v>
      </c>
      <c r="E9" s="182" t="s">
        <v>19</v>
      </c>
      <c r="F9" s="183">
        <v>411000</v>
      </c>
      <c r="G9" s="187">
        <v>0</v>
      </c>
    </row>
    <row r="10" spans="1:8">
      <c r="A10" s="188">
        <v>272200</v>
      </c>
      <c r="B10" s="188"/>
      <c r="C10" s="188">
        <f t="shared" ref="C10:C16" si="0">+A10</f>
        <v>272200</v>
      </c>
      <c r="D10" s="188">
        <f t="shared" ref="D10:D17" si="1">+G10</f>
        <v>22491.75</v>
      </c>
      <c r="E10" s="182" t="s">
        <v>232</v>
      </c>
      <c r="F10" s="183">
        <v>412000</v>
      </c>
      <c r="G10" s="187">
        <v>22491.75</v>
      </c>
    </row>
    <row r="11" spans="1:8">
      <c r="A11" s="188">
        <v>300500</v>
      </c>
      <c r="B11" s="188"/>
      <c r="C11" s="188">
        <f t="shared" si="0"/>
        <v>300500</v>
      </c>
      <c r="D11" s="188">
        <f t="shared" si="1"/>
        <v>0</v>
      </c>
      <c r="E11" s="182" t="s">
        <v>21</v>
      </c>
      <c r="F11" s="183">
        <v>413000</v>
      </c>
      <c r="G11" s="187">
        <v>0</v>
      </c>
    </row>
    <row r="12" spans="1:8">
      <c r="A12" s="188">
        <v>300000</v>
      </c>
      <c r="B12" s="188"/>
      <c r="C12" s="188">
        <f t="shared" si="0"/>
        <v>300000</v>
      </c>
      <c r="D12" s="188">
        <f t="shared" si="1"/>
        <v>21545</v>
      </c>
      <c r="E12" s="182" t="s">
        <v>23</v>
      </c>
      <c r="F12" s="183">
        <v>414000</v>
      </c>
      <c r="G12" s="187">
        <v>21545</v>
      </c>
    </row>
    <row r="13" spans="1:8">
      <c r="A13" s="188">
        <v>60000</v>
      </c>
      <c r="B13" s="188"/>
      <c r="C13" s="188">
        <f t="shared" si="0"/>
        <v>60000</v>
      </c>
      <c r="D13" s="188">
        <f t="shared" si="1"/>
        <v>108</v>
      </c>
      <c r="E13" s="182" t="s">
        <v>20</v>
      </c>
      <c r="F13" s="183">
        <v>415000</v>
      </c>
      <c r="G13" s="187">
        <f>105+3</f>
        <v>108</v>
      </c>
    </row>
    <row r="14" spans="1:8">
      <c r="A14" s="188">
        <v>15000</v>
      </c>
      <c r="B14" s="188"/>
      <c r="C14" s="188">
        <f t="shared" si="0"/>
        <v>15000</v>
      </c>
      <c r="D14" s="188">
        <f t="shared" si="1"/>
        <v>0</v>
      </c>
      <c r="E14" s="182" t="s">
        <v>100</v>
      </c>
      <c r="F14" s="183">
        <v>416000</v>
      </c>
      <c r="G14" s="187">
        <v>0</v>
      </c>
    </row>
    <row r="15" spans="1:8">
      <c r="A15" s="188">
        <v>16076000</v>
      </c>
      <c r="B15" s="188"/>
      <c r="C15" s="188">
        <f t="shared" si="0"/>
        <v>16076000</v>
      </c>
      <c r="D15" s="188">
        <f t="shared" si="1"/>
        <v>1292044.94</v>
      </c>
      <c r="E15" s="182" t="s">
        <v>45</v>
      </c>
      <c r="F15" s="183">
        <v>421000</v>
      </c>
      <c r="G15" s="187">
        <v>1292044.94</v>
      </c>
    </row>
    <row r="16" spans="1:8">
      <c r="A16" s="188">
        <v>16100000</v>
      </c>
      <c r="B16" s="188"/>
      <c r="C16" s="188">
        <f t="shared" si="0"/>
        <v>16100000</v>
      </c>
      <c r="D16" s="188">
        <f t="shared" si="1"/>
        <v>0</v>
      </c>
      <c r="E16" s="182" t="s">
        <v>22</v>
      </c>
      <c r="F16" s="183">
        <v>431002</v>
      </c>
      <c r="G16" s="187">
        <v>0</v>
      </c>
    </row>
    <row r="17" spans="1:8" hidden="1">
      <c r="A17" s="187"/>
      <c r="B17" s="189"/>
      <c r="C17" s="189"/>
      <c r="D17" s="188">
        <f t="shared" si="1"/>
        <v>0</v>
      </c>
      <c r="E17" s="182" t="s">
        <v>376</v>
      </c>
      <c r="F17" s="183">
        <v>441000</v>
      </c>
      <c r="G17" s="187">
        <v>0</v>
      </c>
    </row>
    <row r="18" spans="1:8" s="27" customFormat="1">
      <c r="A18" s="190">
        <f>SUM(A9:A17)</f>
        <v>33321700</v>
      </c>
      <c r="B18" s="302">
        <f>SUM(B9:B17)</f>
        <v>0</v>
      </c>
      <c r="C18" s="302">
        <f>SUM(C9:C17)</f>
        <v>33321700</v>
      </c>
      <c r="D18" s="302">
        <f>SUM(D9:D17)</f>
        <v>1336189.69</v>
      </c>
      <c r="E18" s="303" t="s">
        <v>17</v>
      </c>
      <c r="F18" s="304"/>
      <c r="G18" s="190">
        <f>SUM(G9:G17)</f>
        <v>1336189.69</v>
      </c>
      <c r="H18" s="84"/>
    </row>
    <row r="19" spans="1:8">
      <c r="A19" s="187"/>
      <c r="B19" s="189"/>
      <c r="C19" s="189"/>
      <c r="D19" s="189">
        <f>+G19</f>
        <v>18786</v>
      </c>
      <c r="E19" s="306" t="s">
        <v>335</v>
      </c>
      <c r="F19" s="183">
        <v>113100</v>
      </c>
      <c r="G19" s="187">
        <f>3500+6362+1362+1362+6200</f>
        <v>18786</v>
      </c>
    </row>
    <row r="20" spans="1:8">
      <c r="A20" s="187"/>
      <c r="B20" s="189"/>
      <c r="C20" s="189"/>
      <c r="D20" s="189">
        <v>32340</v>
      </c>
      <c r="E20" s="306" t="s">
        <v>110</v>
      </c>
      <c r="F20" s="183">
        <v>113700</v>
      </c>
      <c r="G20" s="187">
        <v>32340</v>
      </c>
    </row>
    <row r="21" spans="1:8" s="309" customFormat="1">
      <c r="A21" s="307"/>
      <c r="B21" s="305"/>
      <c r="C21" s="305"/>
      <c r="D21" s="305">
        <f>+G21</f>
        <v>32340</v>
      </c>
      <c r="E21" s="306" t="s">
        <v>336</v>
      </c>
      <c r="F21" s="183">
        <v>113200</v>
      </c>
      <c r="G21" s="307">
        <v>32340</v>
      </c>
      <c r="H21" s="308"/>
    </row>
    <row r="22" spans="1:8">
      <c r="A22" s="187"/>
      <c r="B22" s="189"/>
      <c r="C22" s="189"/>
      <c r="D22" s="188">
        <f>+G22</f>
        <v>11632.19</v>
      </c>
      <c r="E22" s="182" t="s">
        <v>378</v>
      </c>
      <c r="F22" s="183">
        <v>215001</v>
      </c>
      <c r="G22" s="187">
        <v>11632.19</v>
      </c>
    </row>
    <row r="23" spans="1:8">
      <c r="A23" s="187"/>
      <c r="B23" s="189"/>
      <c r="C23" s="189"/>
      <c r="D23" s="188">
        <f t="shared" ref="D23:D25" si="2">+G23</f>
        <v>87938</v>
      </c>
      <c r="E23" s="182" t="s">
        <v>379</v>
      </c>
      <c r="F23" s="183">
        <v>215008</v>
      </c>
      <c r="G23" s="187">
        <v>87938</v>
      </c>
    </row>
    <row r="24" spans="1:8">
      <c r="A24" s="187"/>
      <c r="B24" s="189"/>
      <c r="C24" s="189"/>
      <c r="D24" s="188">
        <f t="shared" si="2"/>
        <v>7549.96</v>
      </c>
      <c r="E24" s="182" t="s">
        <v>380</v>
      </c>
      <c r="F24" s="183">
        <v>215016</v>
      </c>
      <c r="G24" s="187">
        <v>7549.96</v>
      </c>
    </row>
    <row r="25" spans="1:8">
      <c r="A25" s="187"/>
      <c r="B25" s="189"/>
      <c r="C25" s="189"/>
      <c r="D25" s="188">
        <f t="shared" si="2"/>
        <v>3</v>
      </c>
      <c r="E25" s="182" t="s">
        <v>215</v>
      </c>
      <c r="F25" s="183">
        <v>216001</v>
      </c>
      <c r="G25" s="187">
        <v>3</v>
      </c>
    </row>
    <row r="26" spans="1:8">
      <c r="A26" s="182"/>
      <c r="B26" s="184"/>
      <c r="C26" s="184"/>
      <c r="D26" s="188"/>
      <c r="E26" s="182"/>
      <c r="F26" s="183"/>
      <c r="G26" s="187"/>
    </row>
    <row r="27" spans="1:8" s="27" customFormat="1">
      <c r="A27" s="297">
        <f>SUM(A18:A26)</f>
        <v>33321700</v>
      </c>
      <c r="B27" s="297">
        <f>SUM(B18:B26)</f>
        <v>0</v>
      </c>
      <c r="C27" s="297">
        <f>SUM(C18:C26)</f>
        <v>33321700</v>
      </c>
      <c r="D27" s="191">
        <f>SUM(D18:D26)</f>
        <v>1526778.8399999999</v>
      </c>
      <c r="E27" s="276" t="s">
        <v>31</v>
      </c>
      <c r="F27" s="298"/>
      <c r="G27" s="191">
        <f>SUM(G18:G26)</f>
        <v>1526778.8399999999</v>
      </c>
      <c r="H27" s="84"/>
    </row>
    <row r="32" spans="1:8">
      <c r="A32" s="410" t="s">
        <v>111</v>
      </c>
      <c r="B32" s="410"/>
      <c r="C32" s="410"/>
      <c r="D32" s="410"/>
      <c r="E32" s="411" t="s">
        <v>0</v>
      </c>
      <c r="F32" s="411" t="s">
        <v>109</v>
      </c>
      <c r="G32" s="413" t="s">
        <v>375</v>
      </c>
    </row>
    <row r="33" spans="1:8" s="287" customFormat="1" ht="57" thickBot="1">
      <c r="A33" s="285" t="s">
        <v>372</v>
      </c>
      <c r="B33" s="285" t="s">
        <v>371</v>
      </c>
      <c r="C33" s="285" t="s">
        <v>374</v>
      </c>
      <c r="D33" s="285" t="s">
        <v>373</v>
      </c>
      <c r="E33" s="412"/>
      <c r="F33" s="412"/>
      <c r="G33" s="412"/>
      <c r="H33" s="286"/>
    </row>
    <row r="34" spans="1:8" ht="19.5" thickTop="1">
      <c r="A34" s="310"/>
      <c r="B34" s="187"/>
      <c r="C34" s="187"/>
      <c r="D34" s="187"/>
      <c r="E34" s="181" t="s">
        <v>29</v>
      </c>
      <c r="F34" s="182"/>
      <c r="G34" s="192"/>
    </row>
    <row r="35" spans="1:8" ht="19.5">
      <c r="A35" s="187">
        <v>3708560</v>
      </c>
      <c r="B35" s="187"/>
      <c r="C35" s="187">
        <f>+A35</f>
        <v>3708560</v>
      </c>
      <c r="D35" s="188">
        <f>+G35</f>
        <v>21850</v>
      </c>
      <c r="E35" s="288" t="s">
        <v>11</v>
      </c>
      <c r="F35" s="186">
        <v>100000</v>
      </c>
      <c r="G35" s="193">
        <v>21850</v>
      </c>
    </row>
    <row r="36" spans="1:8" ht="19.5">
      <c r="A36" s="187">
        <v>2624640</v>
      </c>
      <c r="B36" s="187"/>
      <c r="C36" s="187">
        <f t="shared" ref="C36:C45" si="3">+A36</f>
        <v>2624640</v>
      </c>
      <c r="D36" s="188">
        <f t="shared" ref="D36:D45" si="4">+G36</f>
        <v>218720</v>
      </c>
      <c r="E36" s="288" t="s">
        <v>114</v>
      </c>
      <c r="F36" s="186">
        <v>210000</v>
      </c>
      <c r="G36" s="194">
        <v>218720</v>
      </c>
    </row>
    <row r="37" spans="1:8" ht="19.5">
      <c r="A37" s="187">
        <f>4048500+1923300+432000+730300+361400+1376000+589300</f>
        <v>9460800</v>
      </c>
      <c r="B37" s="187"/>
      <c r="C37" s="187">
        <f t="shared" si="3"/>
        <v>9460800</v>
      </c>
      <c r="D37" s="188">
        <f t="shared" si="4"/>
        <v>732659.61</v>
      </c>
      <c r="E37" s="288" t="s">
        <v>115</v>
      </c>
      <c r="F37" s="186">
        <v>220000</v>
      </c>
      <c r="G37" s="194">
        <v>732659.61</v>
      </c>
    </row>
    <row r="38" spans="1:8" ht="19.5">
      <c r="A38" s="187">
        <f>316000+115800+28000+30000+36000+10500+123000+28800</f>
        <v>688100</v>
      </c>
      <c r="B38" s="187"/>
      <c r="C38" s="187">
        <f t="shared" si="3"/>
        <v>688100</v>
      </c>
      <c r="D38" s="188">
        <f t="shared" si="4"/>
        <v>13050</v>
      </c>
      <c r="E38" s="288" t="s">
        <v>5</v>
      </c>
      <c r="F38" s="186">
        <v>310000</v>
      </c>
      <c r="G38" s="194">
        <v>13050</v>
      </c>
    </row>
    <row r="39" spans="1:8" ht="19.5">
      <c r="A39" s="187">
        <f>1032000+120000+150000+370000+1092500+168000+130000+400000+600000+350000+250000+300000+10000+20000+160000</f>
        <v>5152500</v>
      </c>
      <c r="B39" s="187"/>
      <c r="C39" s="187">
        <f t="shared" si="3"/>
        <v>5152500</v>
      </c>
      <c r="D39" s="188">
        <f t="shared" si="4"/>
        <v>89641.89</v>
      </c>
      <c r="E39" s="288" t="s">
        <v>6</v>
      </c>
      <c r="F39" s="186">
        <v>320000</v>
      </c>
      <c r="G39" s="194">
        <f>70855.89+3500+6362+1362+1362+6200</f>
        <v>89641.89</v>
      </c>
      <c r="H39" s="6">
        <f>+D39-3916876.48</f>
        <v>-3827234.59</v>
      </c>
    </row>
    <row r="40" spans="1:8" ht="19.5">
      <c r="A40" s="187">
        <f>550000+105000+2178000+120000+60000+350000+450000+50000+140000</f>
        <v>4003000</v>
      </c>
      <c r="B40" s="187"/>
      <c r="C40" s="187">
        <f t="shared" si="3"/>
        <v>4003000</v>
      </c>
      <c r="D40" s="188">
        <f t="shared" si="4"/>
        <v>18076</v>
      </c>
      <c r="E40" s="288" t="s">
        <v>7</v>
      </c>
      <c r="F40" s="186">
        <v>330000</v>
      </c>
      <c r="G40" s="194">
        <v>18076</v>
      </c>
      <c r="H40" s="6">
        <f>+D40-3620793.73</f>
        <v>-3602717.73</v>
      </c>
    </row>
    <row r="41" spans="1:8" ht="19.5">
      <c r="A41" s="187">
        <f>450000+450000</f>
        <v>900000</v>
      </c>
      <c r="B41" s="187"/>
      <c r="C41" s="187">
        <f t="shared" si="3"/>
        <v>900000</v>
      </c>
      <c r="D41" s="188">
        <f t="shared" si="4"/>
        <v>82973.429999999993</v>
      </c>
      <c r="E41" s="288" t="s">
        <v>8</v>
      </c>
      <c r="F41" s="186">
        <v>340000</v>
      </c>
      <c r="G41" s="194">
        <v>82973.429999999993</v>
      </c>
      <c r="H41" s="6">
        <f>+D41-1044432.06</f>
        <v>-961458.63000000012</v>
      </c>
    </row>
    <row r="42" spans="1:8" ht="19.5">
      <c r="A42" s="187">
        <f>50000+36000+113000+91600+71000+70500</f>
        <v>432100</v>
      </c>
      <c r="B42" s="187"/>
      <c r="C42" s="187">
        <f t="shared" si="3"/>
        <v>432100</v>
      </c>
      <c r="D42" s="188">
        <f t="shared" si="4"/>
        <v>0</v>
      </c>
      <c r="E42" s="288" t="s">
        <v>9</v>
      </c>
      <c r="F42" s="186">
        <v>410000</v>
      </c>
      <c r="G42" s="194">
        <v>0</v>
      </c>
      <c r="H42" s="6">
        <f>+D42-743046.05</f>
        <v>-743046.05</v>
      </c>
    </row>
    <row r="43" spans="1:8" ht="19.5">
      <c r="A43" s="187">
        <f>398000+15000+1726000</f>
        <v>2139000</v>
      </c>
      <c r="B43" s="187"/>
      <c r="C43" s="187">
        <f t="shared" si="3"/>
        <v>2139000</v>
      </c>
      <c r="D43" s="188">
        <f t="shared" si="4"/>
        <v>0</v>
      </c>
      <c r="E43" s="288" t="s">
        <v>10</v>
      </c>
      <c r="F43" s="186">
        <v>420000</v>
      </c>
      <c r="G43" s="194">
        <v>0</v>
      </c>
      <c r="H43" s="6">
        <f>+D43-5106548</f>
        <v>-5106548</v>
      </c>
    </row>
    <row r="44" spans="1:8" ht="19.5">
      <c r="A44" s="187">
        <v>25000</v>
      </c>
      <c r="B44" s="187"/>
      <c r="C44" s="187">
        <f t="shared" si="3"/>
        <v>25000</v>
      </c>
      <c r="D44" s="188">
        <f t="shared" si="4"/>
        <v>0</v>
      </c>
      <c r="E44" s="288" t="s">
        <v>377</v>
      </c>
      <c r="F44" s="183">
        <v>510000</v>
      </c>
      <c r="G44" s="194">
        <v>0</v>
      </c>
    </row>
    <row r="45" spans="1:8">
      <c r="A45" s="187">
        <f>20000+3792000+240000+10000+126000</f>
        <v>4188000</v>
      </c>
      <c r="B45" s="187"/>
      <c r="C45" s="187">
        <f t="shared" si="3"/>
        <v>4188000</v>
      </c>
      <c r="D45" s="188">
        <f t="shared" si="4"/>
        <v>7000</v>
      </c>
      <c r="E45" s="288" t="s">
        <v>13</v>
      </c>
      <c r="F45" s="186">
        <v>610000</v>
      </c>
      <c r="G45" s="187">
        <v>7000</v>
      </c>
    </row>
    <row r="46" spans="1:8" s="27" customFormat="1">
      <c r="A46" s="190">
        <f>SUM(A35:A45)</f>
        <v>33321700</v>
      </c>
      <c r="B46" s="190">
        <f t="shared" ref="B46" si="5">SUM(B35:B45)</f>
        <v>0</v>
      </c>
      <c r="C46" s="190">
        <f>SUM(C35:C45)</f>
        <v>33321700</v>
      </c>
      <c r="D46" s="190">
        <f>SUM(D35:D45)</f>
        <v>1183970.93</v>
      </c>
      <c r="E46" s="300" t="s">
        <v>17</v>
      </c>
      <c r="F46" s="299"/>
      <c r="G46" s="190">
        <f>SUM(G35:G45)</f>
        <v>1183970.93</v>
      </c>
      <c r="H46" s="84"/>
    </row>
    <row r="47" spans="1:8">
      <c r="A47" s="187"/>
      <c r="B47" s="187"/>
      <c r="C47" s="187"/>
      <c r="D47" s="187">
        <f>+G47</f>
        <v>110707</v>
      </c>
      <c r="E47" s="289" t="s">
        <v>15</v>
      </c>
      <c r="F47" s="183">
        <v>310000</v>
      </c>
      <c r="G47" s="187">
        <v>110707</v>
      </c>
      <c r="H47" s="6">
        <f>31234948.9-D47</f>
        <v>31124241.899999999</v>
      </c>
    </row>
    <row r="48" spans="1:8">
      <c r="A48" s="187"/>
      <c r="B48" s="189"/>
      <c r="C48" s="189"/>
      <c r="D48" s="187">
        <f t="shared" ref="D48:D56" si="6">+G48</f>
        <v>0</v>
      </c>
      <c r="E48" s="288" t="s">
        <v>350</v>
      </c>
      <c r="F48" s="186">
        <v>320000</v>
      </c>
      <c r="G48" s="187">
        <v>0</v>
      </c>
    </row>
    <row r="49" spans="1:8">
      <c r="A49" s="187"/>
      <c r="B49" s="189"/>
      <c r="C49" s="189"/>
      <c r="D49" s="187">
        <f t="shared" si="6"/>
        <v>28586</v>
      </c>
      <c r="E49" s="288" t="s">
        <v>335</v>
      </c>
      <c r="F49" s="186">
        <v>113100</v>
      </c>
      <c r="G49" s="187">
        <v>28586</v>
      </c>
    </row>
    <row r="50" spans="1:8">
      <c r="A50" s="187"/>
      <c r="B50" s="189"/>
      <c r="C50" s="189"/>
      <c r="D50" s="187">
        <f t="shared" si="6"/>
        <v>1088380</v>
      </c>
      <c r="E50" s="288" t="s">
        <v>110</v>
      </c>
      <c r="F50" s="186">
        <v>113700</v>
      </c>
      <c r="G50" s="187">
        <v>1088380</v>
      </c>
    </row>
    <row r="51" spans="1:8">
      <c r="A51" s="187"/>
      <c r="B51" s="189"/>
      <c r="C51" s="189"/>
      <c r="D51" s="187">
        <f t="shared" si="6"/>
        <v>32340</v>
      </c>
      <c r="E51" s="288" t="s">
        <v>336</v>
      </c>
      <c r="F51" s="186">
        <v>113200</v>
      </c>
      <c r="G51" s="187">
        <v>32340</v>
      </c>
    </row>
    <row r="52" spans="1:8">
      <c r="A52" s="187"/>
      <c r="B52" s="189"/>
      <c r="C52" s="189"/>
      <c r="D52" s="187">
        <f t="shared" si="6"/>
        <v>1023004</v>
      </c>
      <c r="E52" s="288" t="s">
        <v>348</v>
      </c>
      <c r="F52" s="186">
        <v>211000</v>
      </c>
      <c r="G52" s="187">
        <v>1023004</v>
      </c>
    </row>
    <row r="53" spans="1:8">
      <c r="A53" s="187"/>
      <c r="B53" s="189"/>
      <c r="C53" s="189"/>
      <c r="D53" s="187">
        <f t="shared" si="6"/>
        <v>9023.61</v>
      </c>
      <c r="E53" s="288" t="s">
        <v>381</v>
      </c>
      <c r="F53" s="186">
        <v>215001</v>
      </c>
      <c r="G53" s="187">
        <v>9023.61</v>
      </c>
    </row>
    <row r="54" spans="1:8">
      <c r="A54" s="187"/>
      <c r="B54" s="189"/>
      <c r="C54" s="189"/>
      <c r="D54" s="187">
        <f t="shared" si="6"/>
        <v>66910</v>
      </c>
      <c r="E54" s="288" t="s">
        <v>379</v>
      </c>
      <c r="F54" s="186">
        <v>215008</v>
      </c>
      <c r="G54" s="187">
        <v>66910</v>
      </c>
    </row>
    <row r="55" spans="1:8">
      <c r="A55" s="187"/>
      <c r="B55" s="189"/>
      <c r="C55" s="189"/>
      <c r="D55" s="187">
        <f t="shared" si="6"/>
        <v>221552</v>
      </c>
      <c r="E55" s="288" t="s">
        <v>382</v>
      </c>
      <c r="F55" s="186">
        <v>215014</v>
      </c>
      <c r="G55" s="187">
        <v>221552</v>
      </c>
    </row>
    <row r="56" spans="1:8">
      <c r="A56" s="198"/>
      <c r="B56" s="198"/>
      <c r="C56" s="198"/>
      <c r="D56" s="198">
        <f t="shared" si="6"/>
        <v>3</v>
      </c>
      <c r="E56" s="294" t="s">
        <v>215</v>
      </c>
      <c r="F56" s="295">
        <v>216001</v>
      </c>
      <c r="G56" s="198">
        <v>3</v>
      </c>
    </row>
    <row r="57" spans="1:8" s="27" customFormat="1">
      <c r="A57" s="191">
        <f>SUM(A46:A56)</f>
        <v>33321700</v>
      </c>
      <c r="B57" s="191">
        <f>SUM(B46:B56)</f>
        <v>0</v>
      </c>
      <c r="C57" s="191">
        <f>SUM(C46:C56)</f>
        <v>33321700</v>
      </c>
      <c r="D57" s="191">
        <f>SUM(D46:D56)</f>
        <v>3764476.5399999996</v>
      </c>
      <c r="E57" s="296" t="s">
        <v>30</v>
      </c>
      <c r="F57" s="301"/>
      <c r="G57" s="191">
        <f>SUM(G46:G56)</f>
        <v>3764476.5399999996</v>
      </c>
      <c r="H57" s="84"/>
    </row>
    <row r="58" spans="1:8">
      <c r="D58" s="182"/>
      <c r="E58" s="263" t="s">
        <v>116</v>
      </c>
      <c r="F58" s="184"/>
      <c r="G58" s="182"/>
    </row>
    <row r="59" spans="1:8">
      <c r="D59" s="195"/>
      <c r="E59" s="263" t="s">
        <v>119</v>
      </c>
      <c r="F59" s="184"/>
      <c r="G59" s="195"/>
    </row>
    <row r="60" spans="1:8">
      <c r="D60" s="195">
        <f>SUM(D27-D57)</f>
        <v>-2237697.6999999997</v>
      </c>
      <c r="E60" s="263" t="s">
        <v>117</v>
      </c>
      <c r="G60" s="195">
        <f>SUM(G27-G57)</f>
        <v>-2237697.6999999997</v>
      </c>
    </row>
    <row r="61" spans="1:8" ht="19.5" thickBot="1">
      <c r="D61" s="196">
        <f>SUM(D7+D27-D57)</f>
        <v>28383215.640000001</v>
      </c>
      <c r="E61" s="263" t="s">
        <v>118</v>
      </c>
      <c r="G61" s="196">
        <f>SUM(G7+G27-G57)</f>
        <v>28383215.640000001</v>
      </c>
      <c r="H61" s="6">
        <f>+งบดุลบัญชี!K5</f>
        <v>28383215.640000004</v>
      </c>
    </row>
    <row r="62" spans="1:8" ht="19.5" thickTop="1">
      <c r="D62" s="197"/>
      <c r="E62" s="263"/>
      <c r="G62" s="197"/>
      <c r="H62" s="6">
        <f>+H61-G61</f>
        <v>0</v>
      </c>
    </row>
    <row r="64" spans="1:8">
      <c r="A64" s="414" t="s">
        <v>28</v>
      </c>
      <c r="B64" s="414"/>
      <c r="C64" s="414"/>
      <c r="D64" s="414"/>
      <c r="E64" s="414"/>
      <c r="F64" s="414"/>
      <c r="G64" s="414"/>
    </row>
    <row r="65" spans="1:7">
      <c r="A65" s="414" t="s">
        <v>383</v>
      </c>
      <c r="B65" s="414"/>
      <c r="C65" s="414"/>
      <c r="D65" s="414"/>
      <c r="E65" s="414"/>
      <c r="F65" s="414"/>
      <c r="G65" s="414"/>
    </row>
    <row r="66" spans="1:7">
      <c r="A66" s="414" t="s">
        <v>415</v>
      </c>
      <c r="B66" s="414"/>
      <c r="C66" s="414"/>
      <c r="D66" s="414"/>
      <c r="E66" s="414"/>
      <c r="F66" s="414"/>
      <c r="G66" s="414"/>
    </row>
    <row r="67" spans="1:7">
      <c r="G67" s="322"/>
    </row>
    <row r="68" spans="1:7">
      <c r="A68" s="410" t="s">
        <v>111</v>
      </c>
      <c r="B68" s="410"/>
      <c r="C68" s="410"/>
      <c r="D68" s="410"/>
      <c r="E68" s="411" t="s">
        <v>0</v>
      </c>
      <c r="F68" s="411" t="s">
        <v>109</v>
      </c>
      <c r="G68" s="413" t="s">
        <v>375</v>
      </c>
    </row>
    <row r="69" spans="1:7" ht="57" thickBot="1">
      <c r="A69" s="285" t="s">
        <v>372</v>
      </c>
      <c r="B69" s="285" t="s">
        <v>371</v>
      </c>
      <c r="C69" s="285" t="s">
        <v>374</v>
      </c>
      <c r="D69" s="285" t="s">
        <v>373</v>
      </c>
      <c r="E69" s="412"/>
      <c r="F69" s="412"/>
      <c r="G69" s="412"/>
    </row>
    <row r="70" spans="1:7" ht="19.5" thickTop="1">
      <c r="A70" s="310"/>
      <c r="B70" s="187"/>
      <c r="C70" s="187"/>
      <c r="D70" s="190">
        <v>30620913.34</v>
      </c>
      <c r="E70" s="181" t="s">
        <v>112</v>
      </c>
      <c r="F70" s="182"/>
      <c r="G70" s="190">
        <f>+G61</f>
        <v>28383215.640000001</v>
      </c>
    </row>
    <row r="71" spans="1:7">
      <c r="A71" s="187"/>
      <c r="B71" s="187"/>
      <c r="C71" s="187"/>
      <c r="D71" s="187"/>
      <c r="E71" s="181" t="s">
        <v>113</v>
      </c>
      <c r="F71" s="182"/>
      <c r="G71" s="187"/>
    </row>
    <row r="72" spans="1:7">
      <c r="A72" s="188">
        <v>198000</v>
      </c>
      <c r="B72" s="188"/>
      <c r="C72" s="188">
        <f>+A72</f>
        <v>198000</v>
      </c>
      <c r="D72" s="188">
        <f>+G72+D9</f>
        <v>0</v>
      </c>
      <c r="E72" s="182" t="s">
        <v>19</v>
      </c>
      <c r="F72" s="183">
        <v>411000</v>
      </c>
      <c r="G72" s="187">
        <v>0</v>
      </c>
    </row>
    <row r="73" spans="1:7">
      <c r="A73" s="188">
        <v>272200</v>
      </c>
      <c r="B73" s="188"/>
      <c r="C73" s="188">
        <f t="shared" ref="C73:C79" si="7">+A73</f>
        <v>272200</v>
      </c>
      <c r="D73" s="188">
        <f t="shared" ref="D73:D79" si="8">+G73+D10</f>
        <v>41421.15</v>
      </c>
      <c r="E73" s="182" t="s">
        <v>232</v>
      </c>
      <c r="F73" s="183">
        <v>412000</v>
      </c>
      <c r="G73" s="187">
        <v>18929.400000000001</v>
      </c>
    </row>
    <row r="74" spans="1:7">
      <c r="A74" s="188">
        <v>300500</v>
      </c>
      <c r="B74" s="188"/>
      <c r="C74" s="188">
        <f t="shared" si="7"/>
        <v>300500</v>
      </c>
      <c r="D74" s="188">
        <f t="shared" si="8"/>
        <v>0</v>
      </c>
      <c r="E74" s="182" t="s">
        <v>21</v>
      </c>
      <c r="F74" s="183">
        <v>413000</v>
      </c>
      <c r="G74" s="187">
        <v>0</v>
      </c>
    </row>
    <row r="75" spans="1:7">
      <c r="A75" s="188">
        <v>300000</v>
      </c>
      <c r="B75" s="188"/>
      <c r="C75" s="188">
        <f t="shared" si="7"/>
        <v>300000</v>
      </c>
      <c r="D75" s="188">
        <f t="shared" si="8"/>
        <v>53080</v>
      </c>
      <c r="E75" s="182" t="s">
        <v>23</v>
      </c>
      <c r="F75" s="183">
        <v>414000</v>
      </c>
      <c r="G75" s="187">
        <v>31535</v>
      </c>
    </row>
    <row r="76" spans="1:7">
      <c r="A76" s="188">
        <v>60000</v>
      </c>
      <c r="B76" s="188"/>
      <c r="C76" s="188">
        <f t="shared" si="7"/>
        <v>60000</v>
      </c>
      <c r="D76" s="188">
        <f t="shared" si="8"/>
        <v>30648</v>
      </c>
      <c r="E76" s="182" t="s">
        <v>20</v>
      </c>
      <c r="F76" s="183">
        <v>415000</v>
      </c>
      <c r="G76" s="187">
        <v>30540</v>
      </c>
    </row>
    <row r="77" spans="1:7">
      <c r="A77" s="188">
        <v>15000</v>
      </c>
      <c r="B77" s="188"/>
      <c r="C77" s="188">
        <f t="shared" si="7"/>
        <v>15000</v>
      </c>
      <c r="D77" s="188">
        <f t="shared" si="8"/>
        <v>0</v>
      </c>
      <c r="E77" s="182" t="s">
        <v>100</v>
      </c>
      <c r="F77" s="183">
        <v>416000</v>
      </c>
      <c r="G77" s="187">
        <v>0</v>
      </c>
    </row>
    <row r="78" spans="1:7">
      <c r="A78" s="188">
        <v>16076000</v>
      </c>
      <c r="B78" s="188"/>
      <c r="C78" s="188">
        <f t="shared" si="7"/>
        <v>16076000</v>
      </c>
      <c r="D78" s="188">
        <f t="shared" si="8"/>
        <v>2665074.0099999998</v>
      </c>
      <c r="E78" s="182" t="s">
        <v>45</v>
      </c>
      <c r="F78" s="183">
        <v>421000</v>
      </c>
      <c r="G78" s="187">
        <v>1373029.07</v>
      </c>
    </row>
    <row r="79" spans="1:7">
      <c r="A79" s="188">
        <v>16100000</v>
      </c>
      <c r="B79" s="188"/>
      <c r="C79" s="188">
        <f t="shared" si="7"/>
        <v>16100000</v>
      </c>
      <c r="D79" s="188">
        <f t="shared" si="8"/>
        <v>6086807</v>
      </c>
      <c r="E79" s="182" t="s">
        <v>22</v>
      </c>
      <c r="F79" s="183">
        <v>431002</v>
      </c>
      <c r="G79" s="187">
        <v>6086807</v>
      </c>
    </row>
    <row r="80" spans="1:7">
      <c r="A80" s="187"/>
      <c r="B80" s="189">
        <f>+G80</f>
        <v>3485940</v>
      </c>
      <c r="C80" s="189"/>
      <c r="D80" s="188">
        <f>+B80</f>
        <v>3485940</v>
      </c>
      <c r="E80" s="182" t="s">
        <v>376</v>
      </c>
      <c r="F80" s="183">
        <v>441000</v>
      </c>
      <c r="G80" s="187">
        <v>3485940</v>
      </c>
    </row>
    <row r="81" spans="1:8">
      <c r="A81" s="190">
        <f>SUM(A72:A80)</f>
        <v>33321700</v>
      </c>
      <c r="B81" s="302">
        <f>SUM(B72:B80)</f>
        <v>3485940</v>
      </c>
      <c r="C81" s="302">
        <f>SUM(C72:C80)</f>
        <v>33321700</v>
      </c>
      <c r="D81" s="302">
        <f>SUM(D72:D80)</f>
        <v>12362970.16</v>
      </c>
      <c r="E81" s="303" t="s">
        <v>17</v>
      </c>
      <c r="F81" s="304"/>
      <c r="G81" s="190">
        <f>SUM(G72:G80)</f>
        <v>11026780.469999999</v>
      </c>
      <c r="H81" s="6">
        <f>+D81+B81</f>
        <v>15848910.16</v>
      </c>
    </row>
    <row r="82" spans="1:8">
      <c r="A82" s="187"/>
      <c r="B82" s="189"/>
      <c r="C82" s="189"/>
      <c r="D82" s="189">
        <f>+G82+D19</f>
        <v>28586</v>
      </c>
      <c r="E82" s="306" t="s">
        <v>335</v>
      </c>
      <c r="F82" s="183">
        <v>113100</v>
      </c>
      <c r="G82" s="187">
        <f>4900+4900</f>
        <v>9800</v>
      </c>
    </row>
    <row r="83" spans="1:8">
      <c r="A83" s="187"/>
      <c r="B83" s="189"/>
      <c r="C83" s="189"/>
      <c r="D83" s="189">
        <f t="shared" ref="D83:D87" si="9">+G83+D20</f>
        <v>2091920</v>
      </c>
      <c r="E83" s="306" t="s">
        <v>110</v>
      </c>
      <c r="F83" s="183">
        <v>113700</v>
      </c>
      <c r="G83" s="187">
        <f>825600+147200+115580+147200+824000</f>
        <v>2059580</v>
      </c>
    </row>
    <row r="84" spans="1:8">
      <c r="A84" s="307"/>
      <c r="B84" s="305"/>
      <c r="C84" s="305"/>
      <c r="D84" s="189">
        <f t="shared" si="9"/>
        <v>32340</v>
      </c>
      <c r="E84" s="306" t="s">
        <v>336</v>
      </c>
      <c r="F84" s="183">
        <v>113200</v>
      </c>
      <c r="G84" s="307">
        <v>0</v>
      </c>
    </row>
    <row r="85" spans="1:8">
      <c r="A85" s="187"/>
      <c r="B85" s="189"/>
      <c r="C85" s="189"/>
      <c r="D85" s="189">
        <f t="shared" si="9"/>
        <v>27697.040000000001</v>
      </c>
      <c r="E85" s="182" t="s">
        <v>378</v>
      </c>
      <c r="F85" s="183">
        <v>215001</v>
      </c>
      <c r="G85" s="187">
        <v>16064.85</v>
      </c>
    </row>
    <row r="86" spans="1:8">
      <c r="A86" s="187"/>
      <c r="B86" s="189"/>
      <c r="C86" s="189"/>
      <c r="D86" s="189">
        <f t="shared" si="9"/>
        <v>87938</v>
      </c>
      <c r="E86" s="182" t="s">
        <v>379</v>
      </c>
      <c r="F86" s="183">
        <v>215008</v>
      </c>
      <c r="G86" s="187">
        <v>0</v>
      </c>
    </row>
    <row r="87" spans="1:8">
      <c r="A87" s="187"/>
      <c r="B87" s="189"/>
      <c r="C87" s="189"/>
      <c r="D87" s="189">
        <f t="shared" si="9"/>
        <v>7549.96</v>
      </c>
      <c r="E87" s="182" t="s">
        <v>380</v>
      </c>
      <c r="F87" s="183">
        <v>215016</v>
      </c>
      <c r="G87" s="187">
        <v>0</v>
      </c>
    </row>
    <row r="88" spans="1:8">
      <c r="A88" s="187"/>
      <c r="B88" s="189"/>
      <c r="C88" s="189"/>
      <c r="D88" s="188">
        <f t="shared" ref="D88" si="10">+G88</f>
        <v>3532</v>
      </c>
      <c r="E88" s="182" t="s">
        <v>416</v>
      </c>
      <c r="F88" s="183">
        <v>215999</v>
      </c>
      <c r="G88" s="187">
        <v>3532</v>
      </c>
    </row>
    <row r="89" spans="1:8">
      <c r="A89" s="187"/>
      <c r="B89" s="189"/>
      <c r="C89" s="189"/>
      <c r="D89" s="188">
        <f>+G89+D25</f>
        <v>3</v>
      </c>
      <c r="E89" s="182" t="s">
        <v>215</v>
      </c>
      <c r="F89" s="183">
        <v>216001</v>
      </c>
      <c r="G89" s="187">
        <v>0</v>
      </c>
    </row>
    <row r="90" spans="1:8">
      <c r="A90" s="182"/>
      <c r="B90" s="184"/>
      <c r="C90" s="184"/>
      <c r="D90" s="188"/>
      <c r="E90" s="182"/>
      <c r="F90" s="183"/>
      <c r="G90" s="187"/>
    </row>
    <row r="91" spans="1:8">
      <c r="A91" s="297">
        <f>SUM(A81:A90)</f>
        <v>33321700</v>
      </c>
      <c r="B91" s="297">
        <f>SUM(B81:B90)</f>
        <v>3485940</v>
      </c>
      <c r="C91" s="297">
        <f>SUM(C81:C90)</f>
        <v>33321700</v>
      </c>
      <c r="D91" s="191">
        <f>SUM(D81:D90)</f>
        <v>14642536.16</v>
      </c>
      <c r="E91" s="323" t="s">
        <v>31</v>
      </c>
      <c r="F91" s="298"/>
      <c r="G91" s="191">
        <f>SUM(G81:G90)</f>
        <v>13115757.319999998</v>
      </c>
    </row>
    <row r="96" spans="1:8">
      <c r="A96" s="410" t="s">
        <v>111</v>
      </c>
      <c r="B96" s="410"/>
      <c r="C96" s="410"/>
      <c r="D96" s="410"/>
      <c r="E96" s="411" t="s">
        <v>0</v>
      </c>
      <c r="F96" s="411" t="s">
        <v>109</v>
      </c>
      <c r="G96" s="413" t="s">
        <v>375</v>
      </c>
    </row>
    <row r="97" spans="1:8" ht="57" thickBot="1">
      <c r="A97" s="285" t="s">
        <v>372</v>
      </c>
      <c r="B97" s="285" t="s">
        <v>371</v>
      </c>
      <c r="C97" s="285" t="s">
        <v>374</v>
      </c>
      <c r="D97" s="285" t="s">
        <v>373</v>
      </c>
      <c r="E97" s="412"/>
      <c r="F97" s="412"/>
      <c r="G97" s="412"/>
    </row>
    <row r="98" spans="1:8" ht="19.5" thickTop="1">
      <c r="A98" s="310"/>
      <c r="B98" s="187"/>
      <c r="C98" s="187"/>
      <c r="D98" s="187"/>
      <c r="E98" s="181" t="s">
        <v>29</v>
      </c>
      <c r="F98" s="182"/>
      <c r="G98" s="192"/>
    </row>
    <row r="99" spans="1:8" ht="19.5">
      <c r="A99" s="187">
        <v>3708560</v>
      </c>
      <c r="B99" s="187"/>
      <c r="C99" s="187">
        <f>+A99</f>
        <v>3708560</v>
      </c>
      <c r="D99" s="188">
        <f>+G99+D35</f>
        <v>42933</v>
      </c>
      <c r="E99" s="288" t="s">
        <v>11</v>
      </c>
      <c r="F99" s="186">
        <v>100000</v>
      </c>
      <c r="G99" s="193">
        <v>21083</v>
      </c>
      <c r="H99" s="6">
        <f>+A99-D99</f>
        <v>3665627</v>
      </c>
    </row>
    <row r="100" spans="1:8" ht="19.5">
      <c r="A100" s="187">
        <v>2624640</v>
      </c>
      <c r="B100" s="187"/>
      <c r="C100" s="187">
        <f t="shared" ref="C100:C109" si="11">+A100</f>
        <v>2624640</v>
      </c>
      <c r="D100" s="188">
        <f t="shared" ref="D100:D109" si="12">+G100+D36</f>
        <v>437440</v>
      </c>
      <c r="E100" s="288" t="s">
        <v>114</v>
      </c>
      <c r="F100" s="186">
        <v>210000</v>
      </c>
      <c r="G100" s="194">
        <v>218720</v>
      </c>
      <c r="H100" s="6">
        <f t="shared" ref="H100:H109" si="13">+A100-D100</f>
        <v>2187200</v>
      </c>
    </row>
    <row r="101" spans="1:8" ht="19.5">
      <c r="A101" s="187">
        <f>4048500+1923300+432000+730300+361400+1376000+589300</f>
        <v>9460800</v>
      </c>
      <c r="B101" s="187"/>
      <c r="C101" s="187">
        <f t="shared" si="11"/>
        <v>9460800</v>
      </c>
      <c r="D101" s="188">
        <f t="shared" si="12"/>
        <v>1401599.6099999999</v>
      </c>
      <c r="E101" s="288" t="s">
        <v>115</v>
      </c>
      <c r="F101" s="186">
        <v>220000</v>
      </c>
      <c r="G101" s="194">
        <v>668940</v>
      </c>
      <c r="H101" s="6">
        <f t="shared" si="13"/>
        <v>8059200.3900000006</v>
      </c>
    </row>
    <row r="102" spans="1:8" s="23" customFormat="1" ht="19.5">
      <c r="A102" s="349">
        <f>316000+115800+28000+30000+36000+10500+123000+28800-20000</f>
        <v>668100</v>
      </c>
      <c r="B102" s="349"/>
      <c r="C102" s="349">
        <f t="shared" si="11"/>
        <v>668100</v>
      </c>
      <c r="D102" s="350">
        <f t="shared" si="12"/>
        <v>43553.25</v>
      </c>
      <c r="E102" s="351" t="s">
        <v>5</v>
      </c>
      <c r="F102" s="352">
        <v>310000</v>
      </c>
      <c r="G102" s="353">
        <v>30503.25</v>
      </c>
      <c r="H102" s="89">
        <f t="shared" si="13"/>
        <v>624546.75</v>
      </c>
    </row>
    <row r="103" spans="1:8" s="23" customFormat="1" ht="19.5">
      <c r="A103" s="349">
        <f>1032000+120000+150000+370000+1092500+168000+130000+400000+600000+350000+250000+300000+10000+20000+160000</f>
        <v>5152500</v>
      </c>
      <c r="B103" s="349"/>
      <c r="C103" s="349">
        <f t="shared" si="11"/>
        <v>5152500</v>
      </c>
      <c r="D103" s="350">
        <f t="shared" si="12"/>
        <v>519207.39</v>
      </c>
      <c r="E103" s="351" t="s">
        <v>6</v>
      </c>
      <c r="F103" s="352">
        <v>320000</v>
      </c>
      <c r="G103" s="353">
        <f>419765.5+4900+4900</f>
        <v>429565.5</v>
      </c>
      <c r="H103" s="89">
        <f t="shared" si="13"/>
        <v>4633292.6100000003</v>
      </c>
    </row>
    <row r="104" spans="1:8" s="23" customFormat="1" ht="19.5">
      <c r="A104" s="349">
        <f>550000+105000+2178000+120000+60000+350000+450000+50000+140000</f>
        <v>4003000</v>
      </c>
      <c r="B104" s="349"/>
      <c r="C104" s="349">
        <f t="shared" si="11"/>
        <v>4003000</v>
      </c>
      <c r="D104" s="350">
        <f t="shared" si="12"/>
        <v>165423.09</v>
      </c>
      <c r="E104" s="351" t="s">
        <v>7</v>
      </c>
      <c r="F104" s="352">
        <v>330000</v>
      </c>
      <c r="G104" s="353">
        <v>147347.09</v>
      </c>
      <c r="H104" s="89">
        <f t="shared" si="13"/>
        <v>3837576.91</v>
      </c>
    </row>
    <row r="105" spans="1:8" s="23" customFormat="1" ht="19.5">
      <c r="A105" s="349">
        <f>450000+450000</f>
        <v>900000</v>
      </c>
      <c r="B105" s="349"/>
      <c r="C105" s="349">
        <f t="shared" si="11"/>
        <v>900000</v>
      </c>
      <c r="D105" s="350">
        <f t="shared" si="12"/>
        <v>151034.96999999997</v>
      </c>
      <c r="E105" s="351" t="s">
        <v>8</v>
      </c>
      <c r="F105" s="352">
        <v>340000</v>
      </c>
      <c r="G105" s="353">
        <v>68061.539999999994</v>
      </c>
      <c r="H105" s="89">
        <f t="shared" si="13"/>
        <v>748965.03</v>
      </c>
    </row>
    <row r="106" spans="1:8" s="23" customFormat="1" ht="19.5">
      <c r="A106" s="349">
        <f>50000+36000+113000+91600+71000+70500+9900+26000-15900</f>
        <v>452100</v>
      </c>
      <c r="B106" s="349"/>
      <c r="C106" s="349">
        <f t="shared" si="11"/>
        <v>452100</v>
      </c>
      <c r="D106" s="350">
        <f t="shared" si="12"/>
        <v>0</v>
      </c>
      <c r="E106" s="351" t="s">
        <v>9</v>
      </c>
      <c r="F106" s="352">
        <v>410000</v>
      </c>
      <c r="G106" s="353">
        <v>0</v>
      </c>
      <c r="H106" s="89">
        <f t="shared" si="13"/>
        <v>452100</v>
      </c>
    </row>
    <row r="107" spans="1:8" ht="19.5">
      <c r="A107" s="187">
        <f>398000+15000+1726000</f>
        <v>2139000</v>
      </c>
      <c r="B107" s="187"/>
      <c r="C107" s="187">
        <f t="shared" si="11"/>
        <v>2139000</v>
      </c>
      <c r="D107" s="188">
        <f t="shared" si="12"/>
        <v>0</v>
      </c>
      <c r="E107" s="288" t="s">
        <v>10</v>
      </c>
      <c r="F107" s="186">
        <v>420000</v>
      </c>
      <c r="G107" s="194">
        <v>0</v>
      </c>
      <c r="H107" s="6">
        <f t="shared" si="13"/>
        <v>2139000</v>
      </c>
    </row>
    <row r="108" spans="1:8" ht="19.5">
      <c r="A108" s="187">
        <v>25000</v>
      </c>
      <c r="B108" s="187"/>
      <c r="C108" s="187">
        <f t="shared" si="11"/>
        <v>25000</v>
      </c>
      <c r="D108" s="188">
        <f t="shared" si="12"/>
        <v>0</v>
      </c>
      <c r="E108" s="288" t="s">
        <v>377</v>
      </c>
      <c r="F108" s="183">
        <v>510000</v>
      </c>
      <c r="G108" s="194">
        <v>0</v>
      </c>
      <c r="H108" s="6">
        <f t="shared" si="13"/>
        <v>25000</v>
      </c>
    </row>
    <row r="109" spans="1:8">
      <c r="A109" s="187">
        <f>20000+3792000+240000+10000+126000</f>
        <v>4188000</v>
      </c>
      <c r="B109" s="187"/>
      <c r="C109" s="187">
        <f t="shared" si="11"/>
        <v>4188000</v>
      </c>
      <c r="D109" s="188">
        <f t="shared" si="12"/>
        <v>982000</v>
      </c>
      <c r="E109" s="288" t="s">
        <v>13</v>
      </c>
      <c r="F109" s="186">
        <v>610000</v>
      </c>
      <c r="G109" s="187">
        <v>975000</v>
      </c>
      <c r="H109" s="6">
        <f t="shared" si="13"/>
        <v>3206000</v>
      </c>
    </row>
    <row r="110" spans="1:8">
      <c r="A110" s="190">
        <f>SUM(A99:A109)</f>
        <v>33321700</v>
      </c>
      <c r="B110" s="190">
        <f t="shared" ref="B110" si="14">SUM(B99:B109)</f>
        <v>0</v>
      </c>
      <c r="C110" s="190">
        <f>SUM(C99:C109)</f>
        <v>33321700</v>
      </c>
      <c r="D110" s="190">
        <f>SUM(D99:D109)</f>
        <v>3743191.3099999996</v>
      </c>
      <c r="E110" s="300" t="s">
        <v>17</v>
      </c>
      <c r="F110" s="299"/>
      <c r="G110" s="190">
        <f>SUM(G99:G109)</f>
        <v>2559220.38</v>
      </c>
      <c r="H110" s="6">
        <f>SUM(H99:H109)</f>
        <v>29578508.690000001</v>
      </c>
    </row>
    <row r="111" spans="1:8">
      <c r="A111" s="190"/>
      <c r="B111" s="187">
        <f>+G111</f>
        <v>2179710.33</v>
      </c>
      <c r="C111" s="190"/>
      <c r="D111" s="187">
        <f>+G111</f>
        <v>2179710.33</v>
      </c>
      <c r="E111" s="289" t="str">
        <f>+E80</f>
        <v>เงินอุดหนุนทั่วไปกำหนดวัตถุประสงค์/เฉพาะกิจ</v>
      </c>
      <c r="F111" s="186">
        <v>441000</v>
      </c>
      <c r="G111" s="187">
        <f>1357+91640+27133.33+825600+147200+91640+22800+1140+147200+824000</f>
        <v>2179710.33</v>
      </c>
    </row>
    <row r="112" spans="1:8">
      <c r="A112" s="187"/>
      <c r="B112" s="187"/>
      <c r="C112" s="187"/>
      <c r="D112" s="187">
        <f>+G112+D47</f>
        <v>380121</v>
      </c>
      <c r="E112" s="289" t="s">
        <v>15</v>
      </c>
      <c r="F112" s="183">
        <v>310000</v>
      </c>
      <c r="G112" s="187">
        <v>269414</v>
      </c>
    </row>
    <row r="113" spans="1:8">
      <c r="A113" s="187"/>
      <c r="B113" s="189"/>
      <c r="C113" s="189"/>
      <c r="D113" s="187">
        <f t="shared" ref="D113:D120" si="15">+G113+D48</f>
        <v>0</v>
      </c>
      <c r="E113" s="288" t="s">
        <v>350</v>
      </c>
      <c r="F113" s="186">
        <v>320000</v>
      </c>
      <c r="G113" s="187">
        <v>0</v>
      </c>
    </row>
    <row r="114" spans="1:8">
      <c r="A114" s="187"/>
      <c r="B114" s="189"/>
      <c r="C114" s="189"/>
      <c r="D114" s="187">
        <f t="shared" si="15"/>
        <v>34886</v>
      </c>
      <c r="E114" s="288" t="s">
        <v>335</v>
      </c>
      <c r="F114" s="186">
        <v>113100</v>
      </c>
      <c r="G114" s="187">
        <v>6300</v>
      </c>
    </row>
    <row r="115" spans="1:8">
      <c r="A115" s="187"/>
      <c r="B115" s="189"/>
      <c r="C115" s="189"/>
      <c r="D115" s="187">
        <f t="shared" si="15"/>
        <v>2059580</v>
      </c>
      <c r="E115" s="288" t="s">
        <v>110</v>
      </c>
      <c r="F115" s="186">
        <v>113700</v>
      </c>
      <c r="G115" s="187">
        <v>971200</v>
      </c>
    </row>
    <row r="116" spans="1:8">
      <c r="A116" s="187"/>
      <c r="B116" s="189"/>
      <c r="C116" s="189"/>
      <c r="D116" s="187">
        <f t="shared" si="15"/>
        <v>32340</v>
      </c>
      <c r="E116" s="288" t="s">
        <v>336</v>
      </c>
      <c r="F116" s="186">
        <v>113200</v>
      </c>
      <c r="G116" s="187">
        <v>0</v>
      </c>
    </row>
    <row r="117" spans="1:8">
      <c r="A117" s="187"/>
      <c r="B117" s="189"/>
      <c r="C117" s="189"/>
      <c r="D117" s="187">
        <f t="shared" si="15"/>
        <v>2270447</v>
      </c>
      <c r="E117" s="288" t="s">
        <v>348</v>
      </c>
      <c r="F117" s="186">
        <v>211000</v>
      </c>
      <c r="G117" s="187">
        <v>1247443</v>
      </c>
    </row>
    <row r="118" spans="1:8">
      <c r="A118" s="187"/>
      <c r="B118" s="189"/>
      <c r="C118" s="189"/>
      <c r="D118" s="187">
        <f t="shared" si="15"/>
        <v>20655.800000000003</v>
      </c>
      <c r="E118" s="288" t="s">
        <v>381</v>
      </c>
      <c r="F118" s="186">
        <v>215001</v>
      </c>
      <c r="G118" s="187">
        <v>11632.19</v>
      </c>
    </row>
    <row r="119" spans="1:8">
      <c r="A119" s="187"/>
      <c r="B119" s="189"/>
      <c r="C119" s="189"/>
      <c r="D119" s="187">
        <f t="shared" si="15"/>
        <v>68493</v>
      </c>
      <c r="E119" s="288" t="s">
        <v>379</v>
      </c>
      <c r="F119" s="186">
        <v>215008</v>
      </c>
      <c r="G119" s="187">
        <v>1583</v>
      </c>
    </row>
    <row r="120" spans="1:8">
      <c r="A120" s="187"/>
      <c r="B120" s="189"/>
      <c r="C120" s="189"/>
      <c r="D120" s="187">
        <f t="shared" si="15"/>
        <v>221552</v>
      </c>
      <c r="E120" s="288" t="s">
        <v>382</v>
      </c>
      <c r="F120" s="186">
        <v>215014</v>
      </c>
      <c r="G120" s="187">
        <v>0</v>
      </c>
    </row>
    <row r="121" spans="1:8">
      <c r="A121" s="187"/>
      <c r="B121" s="189"/>
      <c r="C121" s="189"/>
      <c r="D121" s="187">
        <f>+G121</f>
        <v>3532</v>
      </c>
      <c r="E121" s="288" t="s">
        <v>416</v>
      </c>
      <c r="F121" s="186">
        <v>215999</v>
      </c>
      <c r="G121" s="187">
        <v>3532</v>
      </c>
    </row>
    <row r="122" spans="1:8">
      <c r="A122" s="198"/>
      <c r="B122" s="198"/>
      <c r="C122" s="198"/>
      <c r="D122" s="198">
        <f>+G122+D56</f>
        <v>3</v>
      </c>
      <c r="E122" s="294" t="s">
        <v>215</v>
      </c>
      <c r="F122" s="295">
        <v>216001</v>
      </c>
      <c r="G122" s="198">
        <v>0</v>
      </c>
    </row>
    <row r="123" spans="1:8">
      <c r="A123" s="191">
        <f>SUM(A110:A122)</f>
        <v>33321700</v>
      </c>
      <c r="B123" s="191">
        <f>SUM(B110:B122)</f>
        <v>2179710.33</v>
      </c>
      <c r="C123" s="191">
        <f>SUM(C110:C122)</f>
        <v>33321700</v>
      </c>
      <c r="D123" s="191">
        <f>SUM(D110:D122)</f>
        <v>11014511.440000001</v>
      </c>
      <c r="E123" s="296" t="s">
        <v>30</v>
      </c>
      <c r="F123" s="301"/>
      <c r="G123" s="191">
        <f>SUM(G110:G122)</f>
        <v>7250034.9000000004</v>
      </c>
    </row>
    <row r="124" spans="1:8">
      <c r="D124" s="182"/>
      <c r="E124" s="322" t="s">
        <v>116</v>
      </c>
      <c r="F124" s="184"/>
      <c r="G124" s="182"/>
    </row>
    <row r="125" spans="1:8">
      <c r="D125" s="195"/>
      <c r="E125" s="322" t="s">
        <v>119</v>
      </c>
      <c r="F125" s="184"/>
      <c r="G125" s="195"/>
    </row>
    <row r="126" spans="1:8">
      <c r="D126" s="195">
        <f>SUM(D91-D123)</f>
        <v>3628024.7199999988</v>
      </c>
      <c r="E126" s="322" t="s">
        <v>117</v>
      </c>
      <c r="G126" s="195">
        <f>SUM(G91-G123)</f>
        <v>5865722.4199999981</v>
      </c>
    </row>
    <row r="127" spans="1:8" ht="19.5" thickBot="1">
      <c r="D127" s="196">
        <f>SUM(D70+D91-D123)</f>
        <v>34248938.060000002</v>
      </c>
      <c r="E127" s="322" t="s">
        <v>118</v>
      </c>
      <c r="G127" s="196">
        <f>SUM(G70+G91-G123)</f>
        <v>34248938.060000002</v>
      </c>
      <c r="H127" s="6">
        <f>+งบดุลบัญชี!Q5</f>
        <v>34248938.060000002</v>
      </c>
    </row>
    <row r="128" spans="1:8" ht="19.5" thickTop="1">
      <c r="A128" s="414" t="s">
        <v>28</v>
      </c>
      <c r="B128" s="414"/>
      <c r="C128" s="414"/>
      <c r="D128" s="414"/>
      <c r="E128" s="414"/>
      <c r="F128" s="414"/>
      <c r="G128" s="414"/>
      <c r="H128" s="6">
        <f>+H127-G127</f>
        <v>0</v>
      </c>
    </row>
    <row r="129" spans="1:8">
      <c r="A129" s="414" t="s">
        <v>383</v>
      </c>
      <c r="B129" s="414"/>
      <c r="C129" s="414"/>
      <c r="D129" s="414"/>
      <c r="E129" s="414"/>
      <c r="F129" s="414"/>
      <c r="G129" s="414"/>
      <c r="H129" s="6">
        <f>+G127-D127</f>
        <v>0</v>
      </c>
    </row>
    <row r="130" spans="1:8">
      <c r="A130" s="414" t="s">
        <v>424</v>
      </c>
      <c r="B130" s="414"/>
      <c r="C130" s="414"/>
      <c r="D130" s="414"/>
      <c r="E130" s="414"/>
      <c r="F130" s="414"/>
      <c r="G130" s="414"/>
    </row>
    <row r="131" spans="1:8">
      <c r="G131" s="343"/>
    </row>
    <row r="132" spans="1:8">
      <c r="A132" s="410" t="s">
        <v>111</v>
      </c>
      <c r="B132" s="410"/>
      <c r="C132" s="410"/>
      <c r="D132" s="410"/>
      <c r="E132" s="411" t="s">
        <v>0</v>
      </c>
      <c r="F132" s="411" t="s">
        <v>109</v>
      </c>
      <c r="G132" s="413" t="s">
        <v>375</v>
      </c>
    </row>
    <row r="133" spans="1:8" ht="57" thickBot="1">
      <c r="A133" s="285" t="s">
        <v>372</v>
      </c>
      <c r="B133" s="285" t="s">
        <v>371</v>
      </c>
      <c r="C133" s="285" t="s">
        <v>374</v>
      </c>
      <c r="D133" s="285" t="s">
        <v>373</v>
      </c>
      <c r="E133" s="412"/>
      <c r="F133" s="412"/>
      <c r="G133" s="412"/>
    </row>
    <row r="134" spans="1:8" ht="19.5" thickTop="1">
      <c r="A134" s="310"/>
      <c r="B134" s="187"/>
      <c r="C134" s="187"/>
      <c r="D134" s="190">
        <v>30620913.34</v>
      </c>
      <c r="E134" s="181" t="s">
        <v>112</v>
      </c>
      <c r="F134" s="182"/>
      <c r="G134" s="190">
        <f>+G127</f>
        <v>34248938.060000002</v>
      </c>
    </row>
    <row r="135" spans="1:8">
      <c r="A135" s="187"/>
      <c r="B135" s="187"/>
      <c r="C135" s="187"/>
      <c r="D135" s="187"/>
      <c r="E135" s="181" t="s">
        <v>113</v>
      </c>
      <c r="F135" s="182"/>
      <c r="G135" s="187"/>
    </row>
    <row r="136" spans="1:8">
      <c r="A136" s="188">
        <v>198000</v>
      </c>
      <c r="B136" s="188"/>
      <c r="C136" s="188">
        <f>+A136</f>
        <v>198000</v>
      </c>
      <c r="D136" s="188">
        <f>D72+G136</f>
        <v>0</v>
      </c>
      <c r="E136" s="182" t="s">
        <v>19</v>
      </c>
      <c r="F136" s="183">
        <v>411000</v>
      </c>
      <c r="G136" s="187">
        <v>0</v>
      </c>
    </row>
    <row r="137" spans="1:8">
      <c r="A137" s="188">
        <v>272200</v>
      </c>
      <c r="B137" s="188"/>
      <c r="C137" s="188">
        <f t="shared" ref="C137:C143" si="16">+A137</f>
        <v>272200</v>
      </c>
      <c r="D137" s="188">
        <f t="shared" ref="D137:D143" si="17">D73+G137</f>
        <v>64963.5</v>
      </c>
      <c r="E137" s="182" t="s">
        <v>232</v>
      </c>
      <c r="F137" s="183">
        <v>412000</v>
      </c>
      <c r="G137" s="187">
        <v>23542.35</v>
      </c>
    </row>
    <row r="138" spans="1:8">
      <c r="A138" s="188">
        <v>300500</v>
      </c>
      <c r="B138" s="188"/>
      <c r="C138" s="188">
        <f t="shared" si="16"/>
        <v>300500</v>
      </c>
      <c r="D138" s="188">
        <f t="shared" si="17"/>
        <v>0</v>
      </c>
      <c r="E138" s="182" t="s">
        <v>21</v>
      </c>
      <c r="F138" s="183">
        <v>413000</v>
      </c>
      <c r="G138" s="187">
        <v>0</v>
      </c>
    </row>
    <row r="139" spans="1:8">
      <c r="A139" s="188">
        <v>300000</v>
      </c>
      <c r="B139" s="188"/>
      <c r="C139" s="188">
        <f t="shared" si="16"/>
        <v>300000</v>
      </c>
      <c r="D139" s="188">
        <f t="shared" si="17"/>
        <v>72715</v>
      </c>
      <c r="E139" s="182" t="s">
        <v>23</v>
      </c>
      <c r="F139" s="183">
        <v>414000</v>
      </c>
      <c r="G139" s="187">
        <v>19635</v>
      </c>
    </row>
    <row r="140" spans="1:8">
      <c r="A140" s="188">
        <v>60000</v>
      </c>
      <c r="B140" s="188"/>
      <c r="C140" s="188">
        <f t="shared" si="16"/>
        <v>60000</v>
      </c>
      <c r="D140" s="188">
        <f t="shared" si="17"/>
        <v>37208</v>
      </c>
      <c r="E140" s="182" t="s">
        <v>20</v>
      </c>
      <c r="F140" s="183">
        <v>415000</v>
      </c>
      <c r="G140" s="187">
        <v>6560</v>
      </c>
    </row>
    <row r="141" spans="1:8">
      <c r="A141" s="188">
        <v>15000</v>
      </c>
      <c r="B141" s="188"/>
      <c r="C141" s="188">
        <f t="shared" si="16"/>
        <v>15000</v>
      </c>
      <c r="D141" s="188">
        <f t="shared" si="17"/>
        <v>0</v>
      </c>
      <c r="E141" s="182" t="s">
        <v>100</v>
      </c>
      <c r="F141" s="183">
        <v>416000</v>
      </c>
      <c r="G141" s="187">
        <v>0</v>
      </c>
    </row>
    <row r="142" spans="1:8">
      <c r="A142" s="188">
        <v>16076000</v>
      </c>
      <c r="B142" s="188"/>
      <c r="C142" s="188">
        <f t="shared" si="16"/>
        <v>16076000</v>
      </c>
      <c r="D142" s="188">
        <f t="shared" si="17"/>
        <v>3986462.76</v>
      </c>
      <c r="E142" s="182" t="s">
        <v>45</v>
      </c>
      <c r="F142" s="183">
        <v>421000</v>
      </c>
      <c r="G142" s="187">
        <v>1321388.75</v>
      </c>
    </row>
    <row r="143" spans="1:8">
      <c r="A143" s="188">
        <v>16100000</v>
      </c>
      <c r="B143" s="188"/>
      <c r="C143" s="188">
        <f t="shared" si="16"/>
        <v>16100000</v>
      </c>
      <c r="D143" s="188">
        <f t="shared" si="17"/>
        <v>6086807</v>
      </c>
      <c r="E143" s="182" t="s">
        <v>22</v>
      </c>
      <c r="F143" s="183">
        <v>431002</v>
      </c>
      <c r="G143" s="187">
        <v>0</v>
      </c>
    </row>
    <row r="144" spans="1:8">
      <c r="A144" s="187"/>
      <c r="B144" s="189">
        <f>+G144+B80</f>
        <v>5589140</v>
      </c>
      <c r="C144" s="189"/>
      <c r="D144" s="188">
        <f>D80+G144</f>
        <v>5589140</v>
      </c>
      <c r="E144" s="182" t="s">
        <v>376</v>
      </c>
      <c r="F144" s="183">
        <v>441000</v>
      </c>
      <c r="G144" s="187">
        <v>2103200</v>
      </c>
    </row>
    <row r="145" spans="1:7">
      <c r="A145" s="190">
        <f>SUM(A136:A144)</f>
        <v>33321700</v>
      </c>
      <c r="B145" s="302">
        <f>SUM(B136:B144)</f>
        <v>5589140</v>
      </c>
      <c r="C145" s="302">
        <f>SUM(C136:C144)</f>
        <v>33321700</v>
      </c>
      <c r="D145" s="302">
        <f>SUM(D136:D144)</f>
        <v>15837296.26</v>
      </c>
      <c r="E145" s="303" t="s">
        <v>17</v>
      </c>
      <c r="F145" s="304"/>
      <c r="G145" s="190">
        <f>SUM(G136:G144)</f>
        <v>3474326.1</v>
      </c>
    </row>
    <row r="146" spans="1:7">
      <c r="A146" s="187"/>
      <c r="B146" s="189"/>
      <c r="C146" s="189"/>
      <c r="D146" s="189">
        <f>D82+G146</f>
        <v>845786</v>
      </c>
      <c r="E146" s="306" t="s">
        <v>335</v>
      </c>
      <c r="F146" s="183">
        <v>113100</v>
      </c>
      <c r="G146" s="187">
        <f>2400+3900+807000+3900</f>
        <v>817200</v>
      </c>
    </row>
    <row r="147" spans="1:7">
      <c r="A147" s="187"/>
      <c r="B147" s="189"/>
      <c r="C147" s="189"/>
      <c r="D147" s="189">
        <f t="shared" ref="D147:D152" si="18">D83+G147</f>
        <v>2093520</v>
      </c>
      <c r="E147" s="306" t="s">
        <v>110</v>
      </c>
      <c r="F147" s="183">
        <v>113700</v>
      </c>
      <c r="G147" s="187">
        <v>1600</v>
      </c>
    </row>
    <row r="148" spans="1:7">
      <c r="A148" s="307"/>
      <c r="B148" s="305"/>
      <c r="C148" s="305"/>
      <c r="D148" s="189">
        <f t="shared" si="18"/>
        <v>32340</v>
      </c>
      <c r="E148" s="306" t="s">
        <v>336</v>
      </c>
      <c r="F148" s="183">
        <v>113200</v>
      </c>
      <c r="G148" s="307">
        <v>0</v>
      </c>
    </row>
    <row r="149" spans="1:7">
      <c r="A149" s="187"/>
      <c r="B149" s="189"/>
      <c r="C149" s="189"/>
      <c r="D149" s="189">
        <f t="shared" si="18"/>
        <v>40138.050000000003</v>
      </c>
      <c r="E149" s="182" t="s">
        <v>378</v>
      </c>
      <c r="F149" s="183">
        <v>215001</v>
      </c>
      <c r="G149" s="187">
        <v>12441.01</v>
      </c>
    </row>
    <row r="150" spans="1:7">
      <c r="A150" s="187"/>
      <c r="B150" s="189"/>
      <c r="C150" s="189"/>
      <c r="D150" s="189">
        <f t="shared" si="18"/>
        <v>114610</v>
      </c>
      <c r="E150" s="182" t="s">
        <v>379</v>
      </c>
      <c r="F150" s="183">
        <v>215008</v>
      </c>
      <c r="G150" s="187">
        <v>26672</v>
      </c>
    </row>
    <row r="151" spans="1:7">
      <c r="A151" s="187"/>
      <c r="B151" s="189"/>
      <c r="C151" s="189"/>
      <c r="D151" s="189">
        <f t="shared" si="18"/>
        <v>7549.96</v>
      </c>
      <c r="E151" s="182" t="s">
        <v>380</v>
      </c>
      <c r="F151" s="183">
        <v>215016</v>
      </c>
      <c r="G151" s="187">
        <v>0</v>
      </c>
    </row>
    <row r="152" spans="1:7">
      <c r="A152" s="187"/>
      <c r="B152" s="189"/>
      <c r="C152" s="189"/>
      <c r="D152" s="189">
        <f t="shared" si="18"/>
        <v>7084</v>
      </c>
      <c r="E152" s="182" t="s">
        <v>416</v>
      </c>
      <c r="F152" s="183">
        <v>215999</v>
      </c>
      <c r="G152" s="187">
        <v>3552</v>
      </c>
    </row>
    <row r="153" spans="1:7">
      <c r="A153" s="187"/>
      <c r="B153" s="189"/>
      <c r="C153" s="189"/>
      <c r="D153" s="189">
        <f>+G153</f>
        <v>21000</v>
      </c>
      <c r="E153" s="182" t="s">
        <v>425</v>
      </c>
      <c r="F153" s="183">
        <v>215999</v>
      </c>
      <c r="G153" s="187">
        <v>21000</v>
      </c>
    </row>
    <row r="154" spans="1:7">
      <c r="A154" s="187"/>
      <c r="B154" s="189"/>
      <c r="C154" s="189"/>
      <c r="D154" s="189">
        <f>+G154</f>
        <v>23560</v>
      </c>
      <c r="E154" s="182" t="s">
        <v>426</v>
      </c>
      <c r="F154" s="183">
        <v>300000</v>
      </c>
      <c r="G154" s="187">
        <v>23560</v>
      </c>
    </row>
    <row r="155" spans="1:7">
      <c r="A155" s="187"/>
      <c r="B155" s="189"/>
      <c r="C155" s="189"/>
      <c r="D155" s="189">
        <f>D89+G155</f>
        <v>3</v>
      </c>
      <c r="E155" s="182" t="s">
        <v>215</v>
      </c>
      <c r="F155" s="183">
        <v>216001</v>
      </c>
      <c r="G155" s="187">
        <v>0</v>
      </c>
    </row>
    <row r="156" spans="1:7">
      <c r="A156" s="182"/>
      <c r="B156" s="184"/>
      <c r="C156" s="184"/>
      <c r="D156" s="188"/>
      <c r="E156" s="182"/>
      <c r="F156" s="183"/>
      <c r="G156" s="187"/>
    </row>
    <row r="157" spans="1:7">
      <c r="A157" s="297">
        <f>SUM(A145:A156)</f>
        <v>33321700</v>
      </c>
      <c r="B157" s="297">
        <f>SUM(B145:B156)</f>
        <v>5589140</v>
      </c>
      <c r="C157" s="297">
        <f>SUM(C145:C156)</f>
        <v>33321700</v>
      </c>
      <c r="D157" s="191">
        <f>SUM(D145:D156)</f>
        <v>19022887.27</v>
      </c>
      <c r="E157" s="344" t="s">
        <v>31</v>
      </c>
      <c r="F157" s="298"/>
      <c r="G157" s="191">
        <f>SUM(G145:G156)</f>
        <v>4380351.1099999994</v>
      </c>
    </row>
    <row r="162" spans="1:8">
      <c r="A162" s="410" t="s">
        <v>111</v>
      </c>
      <c r="B162" s="410"/>
      <c r="C162" s="410"/>
      <c r="D162" s="410"/>
      <c r="E162" s="411" t="s">
        <v>0</v>
      </c>
      <c r="F162" s="411" t="s">
        <v>109</v>
      </c>
      <c r="G162" s="413" t="s">
        <v>375</v>
      </c>
    </row>
    <row r="163" spans="1:8" ht="57" thickBot="1">
      <c r="A163" s="285" t="s">
        <v>372</v>
      </c>
      <c r="B163" s="285" t="s">
        <v>371</v>
      </c>
      <c r="C163" s="285" t="s">
        <v>374</v>
      </c>
      <c r="D163" s="285" t="s">
        <v>373</v>
      </c>
      <c r="E163" s="412"/>
      <c r="F163" s="412"/>
      <c r="G163" s="412"/>
    </row>
    <row r="164" spans="1:8" ht="19.5" thickTop="1">
      <c r="A164" s="310"/>
      <c r="B164" s="187"/>
      <c r="C164" s="187"/>
      <c r="D164" s="187"/>
      <c r="E164" s="181" t="s">
        <v>29</v>
      </c>
      <c r="F164" s="182"/>
      <c r="G164" s="192"/>
    </row>
    <row r="165" spans="1:8" ht="19.5">
      <c r="A165" s="187">
        <v>3708560</v>
      </c>
      <c r="B165" s="187"/>
      <c r="C165" s="187">
        <f>+A165</f>
        <v>3708560</v>
      </c>
      <c r="D165" s="188">
        <f t="shared" ref="D165:D175" si="19">+G165+D99</f>
        <v>430098</v>
      </c>
      <c r="E165" s="288" t="s">
        <v>11</v>
      </c>
      <c r="F165" s="186">
        <v>100000</v>
      </c>
      <c r="G165" s="193">
        <v>387165</v>
      </c>
      <c r="H165" s="6">
        <f>+A165-D165</f>
        <v>3278462</v>
      </c>
    </row>
    <row r="166" spans="1:8" ht="19.5">
      <c r="A166" s="187">
        <v>2624640</v>
      </c>
      <c r="B166" s="187"/>
      <c r="C166" s="187">
        <f t="shared" ref="C166:C175" si="20">+A166</f>
        <v>2624640</v>
      </c>
      <c r="D166" s="188">
        <f t="shared" si="19"/>
        <v>656160</v>
      </c>
      <c r="E166" s="288" t="s">
        <v>114</v>
      </c>
      <c r="F166" s="186">
        <v>210000</v>
      </c>
      <c r="G166" s="194">
        <v>218720</v>
      </c>
      <c r="H166" s="6">
        <f t="shared" ref="H166:H175" si="21">+A166-D166</f>
        <v>1968480</v>
      </c>
    </row>
    <row r="167" spans="1:8" ht="19.5">
      <c r="A167" s="187">
        <f>4048500+1923300+432000+730300+361400+1376000+589300</f>
        <v>9460800</v>
      </c>
      <c r="B167" s="187"/>
      <c r="C167" s="187">
        <f t="shared" si="20"/>
        <v>9460800</v>
      </c>
      <c r="D167" s="188">
        <f t="shared" si="19"/>
        <v>2070539.6099999999</v>
      </c>
      <c r="E167" s="288" t="s">
        <v>115</v>
      </c>
      <c r="F167" s="186">
        <v>220000</v>
      </c>
      <c r="G167" s="194">
        <v>668940</v>
      </c>
      <c r="H167" s="6">
        <f t="shared" si="21"/>
        <v>7390260.3900000006</v>
      </c>
    </row>
    <row r="168" spans="1:8" s="23" customFormat="1" ht="19.5">
      <c r="A168" s="349">
        <f>316000+115800+28000+30000+36000+10500+123000+28800-20000</f>
        <v>668100</v>
      </c>
      <c r="B168" s="349"/>
      <c r="C168" s="349">
        <f t="shared" si="20"/>
        <v>668100</v>
      </c>
      <c r="D168" s="350">
        <f t="shared" si="19"/>
        <v>72553.25</v>
      </c>
      <c r="E168" s="351" t="s">
        <v>5</v>
      </c>
      <c r="F168" s="352">
        <v>310000</v>
      </c>
      <c r="G168" s="353">
        <v>29000</v>
      </c>
      <c r="H168" s="89">
        <f t="shared" si="21"/>
        <v>595546.75</v>
      </c>
    </row>
    <row r="169" spans="1:8" s="23" customFormat="1" ht="19.5">
      <c r="A169" s="349">
        <f>1032000+120000+150000+370000+1092500+168000+130000+400000+600000+350000+250000+300000+10000+20000+160000</f>
        <v>5152500</v>
      </c>
      <c r="B169" s="349"/>
      <c r="C169" s="349">
        <f t="shared" si="20"/>
        <v>5152500</v>
      </c>
      <c r="D169" s="350">
        <f t="shared" si="19"/>
        <v>802714.94</v>
      </c>
      <c r="E169" s="351" t="s">
        <v>6</v>
      </c>
      <c r="F169" s="352">
        <v>320000</v>
      </c>
      <c r="G169" s="353">
        <f>273307.55+2400+3900+3900</f>
        <v>283507.55</v>
      </c>
      <c r="H169" s="89">
        <f>+A169-D169</f>
        <v>4349785.0600000005</v>
      </c>
    </row>
    <row r="170" spans="1:8" s="23" customFormat="1" ht="19.5">
      <c r="A170" s="349">
        <f>550000+105000+2178000+120000+60000+350000+450000+50000+140000</f>
        <v>4003000</v>
      </c>
      <c r="B170" s="349"/>
      <c r="C170" s="349">
        <f t="shared" si="20"/>
        <v>4003000</v>
      </c>
      <c r="D170" s="350">
        <f t="shared" si="19"/>
        <v>333138.33999999997</v>
      </c>
      <c r="E170" s="351" t="s">
        <v>7</v>
      </c>
      <c r="F170" s="352">
        <v>330000</v>
      </c>
      <c r="G170" s="353">
        <v>167715.25</v>
      </c>
      <c r="H170" s="89">
        <f t="shared" si="21"/>
        <v>3669861.66</v>
      </c>
    </row>
    <row r="171" spans="1:8" s="23" customFormat="1" ht="19.5">
      <c r="A171" s="349">
        <f>450000+450000</f>
        <v>900000</v>
      </c>
      <c r="B171" s="349"/>
      <c r="C171" s="349">
        <f t="shared" si="20"/>
        <v>900000</v>
      </c>
      <c r="D171" s="350">
        <f t="shared" si="19"/>
        <v>233979.86</v>
      </c>
      <c r="E171" s="351" t="s">
        <v>8</v>
      </c>
      <c r="F171" s="352">
        <v>340000</v>
      </c>
      <c r="G171" s="353">
        <v>82944.89</v>
      </c>
      <c r="H171" s="89">
        <f t="shared" si="21"/>
        <v>666020.14</v>
      </c>
    </row>
    <row r="172" spans="1:8" s="23" customFormat="1" ht="19.5">
      <c r="A172" s="349">
        <f>50000+36000+113000+91600+71000+70500+9900+26000-15900</f>
        <v>452100</v>
      </c>
      <c r="B172" s="349"/>
      <c r="C172" s="349">
        <f t="shared" si="20"/>
        <v>452100</v>
      </c>
      <c r="D172" s="350">
        <f t="shared" si="19"/>
        <v>0</v>
      </c>
      <c r="E172" s="351" t="s">
        <v>9</v>
      </c>
      <c r="F172" s="352">
        <v>410000</v>
      </c>
      <c r="G172" s="353">
        <v>0</v>
      </c>
      <c r="H172" s="89">
        <f t="shared" si="21"/>
        <v>452100</v>
      </c>
    </row>
    <row r="173" spans="1:8" ht="19.5">
      <c r="A173" s="187">
        <f>398000+15000+1726000</f>
        <v>2139000</v>
      </c>
      <c r="B173" s="187"/>
      <c r="C173" s="187">
        <f t="shared" si="20"/>
        <v>2139000</v>
      </c>
      <c r="D173" s="188">
        <f t="shared" si="19"/>
        <v>0</v>
      </c>
      <c r="E173" s="288" t="s">
        <v>10</v>
      </c>
      <c r="F173" s="186">
        <v>420000</v>
      </c>
      <c r="G173" s="194">
        <v>0</v>
      </c>
      <c r="H173" s="6">
        <f t="shared" si="21"/>
        <v>2139000</v>
      </c>
    </row>
    <row r="174" spans="1:8" ht="19.5">
      <c r="A174" s="187">
        <v>25000</v>
      </c>
      <c r="B174" s="187"/>
      <c r="C174" s="187">
        <f t="shared" si="20"/>
        <v>25000</v>
      </c>
      <c r="D174" s="188">
        <f t="shared" si="19"/>
        <v>0</v>
      </c>
      <c r="E174" s="288" t="s">
        <v>377</v>
      </c>
      <c r="F174" s="183">
        <v>510000</v>
      </c>
      <c r="G174" s="194">
        <v>0</v>
      </c>
      <c r="H174" s="6">
        <f t="shared" si="21"/>
        <v>25000</v>
      </c>
    </row>
    <row r="175" spans="1:8">
      <c r="A175" s="187">
        <f>20000+3792000+240000+10000+126000</f>
        <v>4188000</v>
      </c>
      <c r="B175" s="187"/>
      <c r="C175" s="187">
        <f t="shared" si="20"/>
        <v>4188000</v>
      </c>
      <c r="D175" s="188">
        <f t="shared" si="19"/>
        <v>982000</v>
      </c>
      <c r="E175" s="288" t="s">
        <v>13</v>
      </c>
      <c r="F175" s="186">
        <v>610000</v>
      </c>
      <c r="G175" s="187">
        <v>0</v>
      </c>
      <c r="H175" s="6">
        <f t="shared" si="21"/>
        <v>3206000</v>
      </c>
    </row>
    <row r="176" spans="1:8">
      <c r="A176" s="190">
        <f>SUM(A165:A175)</f>
        <v>33321700</v>
      </c>
      <c r="B176" s="190">
        <f t="shared" ref="B176" si="22">SUM(B165:B175)</f>
        <v>0</v>
      </c>
      <c r="C176" s="190">
        <f>SUM(C165:C175)</f>
        <v>33321700</v>
      </c>
      <c r="D176" s="190">
        <f>SUM(D165:D175)</f>
        <v>5581184</v>
      </c>
      <c r="E176" s="300" t="s">
        <v>17</v>
      </c>
      <c r="F176" s="299"/>
      <c r="G176" s="190">
        <f>SUM(G165:G175)</f>
        <v>1837992.69</v>
      </c>
      <c r="H176" s="6">
        <f>SUM(H165:H175)</f>
        <v>27740516.000000004</v>
      </c>
    </row>
    <row r="177" spans="1:7">
      <c r="A177" s="190"/>
      <c r="B177" s="187">
        <f>+G177+B111</f>
        <v>3272790.33</v>
      </c>
      <c r="C177" s="190"/>
      <c r="D177" s="187">
        <f>+D111+G177</f>
        <v>3272790.33</v>
      </c>
      <c r="E177" s="289" t="str">
        <f>+E144</f>
        <v>เงินอุดหนุนทั่วไปกำหนดวัตถุประสงค์/เฉพาะกิจ</v>
      </c>
      <c r="F177" s="186">
        <v>441000</v>
      </c>
      <c r="G177" s="187">
        <f>120800+37600+1640+91640+32800+699800+107200+1600</f>
        <v>1093080</v>
      </c>
    </row>
    <row r="178" spans="1:7">
      <c r="A178" s="187"/>
      <c r="B178" s="187"/>
      <c r="C178" s="187"/>
      <c r="D178" s="187">
        <f t="shared" ref="D178:D179" si="23">+G178+D112</f>
        <v>626821</v>
      </c>
      <c r="E178" s="289" t="s">
        <v>15</v>
      </c>
      <c r="F178" s="183">
        <v>310000</v>
      </c>
      <c r="G178" s="187">
        <v>246700</v>
      </c>
    </row>
    <row r="179" spans="1:7">
      <c r="A179" s="187"/>
      <c r="B179" s="189"/>
      <c r="C179" s="189"/>
      <c r="D179" s="187">
        <f t="shared" si="23"/>
        <v>0</v>
      </c>
      <c r="E179" s="288" t="s">
        <v>350</v>
      </c>
      <c r="F179" s="186">
        <v>320000</v>
      </c>
      <c r="G179" s="187">
        <v>0</v>
      </c>
    </row>
    <row r="180" spans="1:7">
      <c r="A180" s="187"/>
      <c r="B180" s="189"/>
      <c r="C180" s="189"/>
      <c r="D180" s="187">
        <f>+G180</f>
        <v>433845.1</v>
      </c>
      <c r="E180" s="288" t="s">
        <v>337</v>
      </c>
      <c r="F180" s="186">
        <v>112002</v>
      </c>
      <c r="G180" s="187">
        <v>433845.1</v>
      </c>
    </row>
    <row r="181" spans="1:7">
      <c r="A181" s="187"/>
      <c r="B181" s="189"/>
      <c r="C181" s="189"/>
      <c r="D181" s="187">
        <f t="shared" ref="D181:D189" si="24">+G181+D114</f>
        <v>845786</v>
      </c>
      <c r="E181" s="288" t="s">
        <v>335</v>
      </c>
      <c r="F181" s="186">
        <v>113100</v>
      </c>
      <c r="G181" s="187">
        <v>810900</v>
      </c>
    </row>
    <row r="182" spans="1:7">
      <c r="A182" s="187"/>
      <c r="B182" s="189"/>
      <c r="C182" s="189"/>
      <c r="D182" s="187">
        <f t="shared" si="24"/>
        <v>2061180</v>
      </c>
      <c r="E182" s="288" t="s">
        <v>110</v>
      </c>
      <c r="F182" s="186">
        <v>113700</v>
      </c>
      <c r="G182" s="187">
        <v>1600</v>
      </c>
    </row>
    <row r="183" spans="1:7">
      <c r="A183" s="187"/>
      <c r="B183" s="189"/>
      <c r="C183" s="189"/>
      <c r="D183" s="187">
        <f t="shared" si="24"/>
        <v>32340</v>
      </c>
      <c r="E183" s="288" t="s">
        <v>336</v>
      </c>
      <c r="F183" s="186">
        <v>113200</v>
      </c>
      <c r="G183" s="187">
        <v>0</v>
      </c>
    </row>
    <row r="184" spans="1:7">
      <c r="A184" s="187"/>
      <c r="B184" s="189"/>
      <c r="C184" s="189"/>
      <c r="D184" s="187">
        <f t="shared" si="24"/>
        <v>3583560</v>
      </c>
      <c r="E184" s="288" t="s">
        <v>348</v>
      </c>
      <c r="F184" s="186">
        <v>211000</v>
      </c>
      <c r="G184" s="187">
        <v>1313113</v>
      </c>
    </row>
    <row r="185" spans="1:7">
      <c r="A185" s="187"/>
      <c r="B185" s="189"/>
      <c r="C185" s="189"/>
      <c r="D185" s="187">
        <f t="shared" si="24"/>
        <v>36720.65</v>
      </c>
      <c r="E185" s="288" t="s">
        <v>381</v>
      </c>
      <c r="F185" s="186">
        <v>215001</v>
      </c>
      <c r="G185" s="187">
        <v>16064.85</v>
      </c>
    </row>
    <row r="186" spans="1:7">
      <c r="A186" s="187"/>
      <c r="B186" s="189"/>
      <c r="C186" s="189"/>
      <c r="D186" s="187">
        <f t="shared" si="24"/>
        <v>74953</v>
      </c>
      <c r="E186" s="288" t="s">
        <v>379</v>
      </c>
      <c r="F186" s="186">
        <v>215008</v>
      </c>
      <c r="G186" s="187">
        <v>6460</v>
      </c>
    </row>
    <row r="187" spans="1:7">
      <c r="A187" s="187"/>
      <c r="B187" s="189"/>
      <c r="C187" s="189"/>
      <c r="D187" s="187">
        <f t="shared" si="24"/>
        <v>221552</v>
      </c>
      <c r="E187" s="288" t="s">
        <v>382</v>
      </c>
      <c r="F187" s="186">
        <v>215014</v>
      </c>
      <c r="G187" s="187">
        <v>0</v>
      </c>
    </row>
    <row r="188" spans="1:7">
      <c r="A188" s="187"/>
      <c r="B188" s="189"/>
      <c r="C188" s="189"/>
      <c r="D188" s="187">
        <f t="shared" si="24"/>
        <v>7084</v>
      </c>
      <c r="E188" s="288" t="s">
        <v>416</v>
      </c>
      <c r="F188" s="186">
        <v>215999</v>
      </c>
      <c r="G188" s="187">
        <v>3552</v>
      </c>
    </row>
    <row r="189" spans="1:7">
      <c r="A189" s="198"/>
      <c r="B189" s="198"/>
      <c r="C189" s="198"/>
      <c r="D189" s="187">
        <f t="shared" si="24"/>
        <v>3</v>
      </c>
      <c r="E189" s="294" t="s">
        <v>215</v>
      </c>
      <c r="F189" s="295">
        <v>216001</v>
      </c>
      <c r="G189" s="198"/>
    </row>
    <row r="190" spans="1:7">
      <c r="A190" s="191">
        <f>SUM(A176:A189)</f>
        <v>33321700</v>
      </c>
      <c r="B190" s="191">
        <f>SUM(B176:B189)</f>
        <v>3272790.33</v>
      </c>
      <c r="C190" s="191">
        <f>SUM(C176:C189)</f>
        <v>33321700</v>
      </c>
      <c r="D190" s="191">
        <f>SUM(D176:D189)</f>
        <v>16777819.079999998</v>
      </c>
      <c r="E190" s="296" t="s">
        <v>30</v>
      </c>
      <c r="F190" s="301"/>
      <c r="G190" s="191">
        <f>SUM(G176:G189)</f>
        <v>5763307.6399999997</v>
      </c>
    </row>
    <row r="191" spans="1:7">
      <c r="D191" s="182"/>
      <c r="E191" s="343" t="s">
        <v>116</v>
      </c>
      <c r="F191" s="184"/>
      <c r="G191" s="182"/>
    </row>
    <row r="192" spans="1:7">
      <c r="D192" s="195"/>
      <c r="E192" s="343" t="s">
        <v>119</v>
      </c>
      <c r="F192" s="184"/>
      <c r="G192" s="195"/>
    </row>
    <row r="193" spans="1:8">
      <c r="D193" s="195">
        <f>SUM(D157-D190)</f>
        <v>2245068.1900000013</v>
      </c>
      <c r="E193" s="343" t="s">
        <v>117</v>
      </c>
      <c r="G193" s="195">
        <f>SUM(G157-G190)</f>
        <v>-1382956.5300000003</v>
      </c>
    </row>
    <row r="194" spans="1:8" ht="19.5" thickBot="1">
      <c r="D194" s="196">
        <f>SUM(D134+D157-D190)</f>
        <v>32865981.530000001</v>
      </c>
      <c r="E194" s="343" t="s">
        <v>118</v>
      </c>
      <c r="G194" s="196">
        <f>SUM(G134+G157-G190)</f>
        <v>32865981.530000001</v>
      </c>
      <c r="H194" s="6">
        <f>+งบดุลบัญชี!W5</f>
        <v>32865981.530000005</v>
      </c>
    </row>
    <row r="195" spans="1:8" ht="19.5" thickTop="1">
      <c r="A195" s="414" t="s">
        <v>28</v>
      </c>
      <c r="B195" s="414"/>
      <c r="C195" s="414"/>
      <c r="D195" s="414"/>
      <c r="E195" s="414"/>
      <c r="F195" s="414"/>
      <c r="G195" s="414"/>
      <c r="H195" s="6">
        <f>+H194-G194</f>
        <v>0</v>
      </c>
    </row>
    <row r="196" spans="1:8">
      <c r="A196" s="414" t="s">
        <v>383</v>
      </c>
      <c r="B196" s="414"/>
      <c r="C196" s="414"/>
      <c r="D196" s="414"/>
      <c r="E196" s="414"/>
      <c r="F196" s="414"/>
      <c r="G196" s="414"/>
      <c r="H196" s="6">
        <f>+G194-D194</f>
        <v>0</v>
      </c>
    </row>
    <row r="197" spans="1:8">
      <c r="A197" s="414" t="s">
        <v>449</v>
      </c>
      <c r="B197" s="414"/>
      <c r="C197" s="414"/>
      <c r="D197" s="414"/>
      <c r="E197" s="414"/>
      <c r="F197" s="414"/>
      <c r="G197" s="414"/>
    </row>
    <row r="198" spans="1:8">
      <c r="G198" s="356"/>
    </row>
    <row r="199" spans="1:8">
      <c r="A199" s="410" t="s">
        <v>111</v>
      </c>
      <c r="B199" s="410"/>
      <c r="C199" s="410"/>
      <c r="D199" s="410"/>
      <c r="E199" s="411" t="s">
        <v>0</v>
      </c>
      <c r="F199" s="411" t="s">
        <v>109</v>
      </c>
      <c r="G199" s="413" t="s">
        <v>375</v>
      </c>
    </row>
    <row r="200" spans="1:8" ht="57" thickBot="1">
      <c r="A200" s="285" t="s">
        <v>372</v>
      </c>
      <c r="B200" s="285" t="s">
        <v>371</v>
      </c>
      <c r="C200" s="285" t="s">
        <v>374</v>
      </c>
      <c r="D200" s="285" t="s">
        <v>373</v>
      </c>
      <c r="E200" s="412"/>
      <c r="F200" s="412"/>
      <c r="G200" s="412"/>
    </row>
    <row r="201" spans="1:8" ht="19.5" thickTop="1">
      <c r="A201" s="310"/>
      <c r="B201" s="187"/>
      <c r="C201" s="187"/>
      <c r="D201" s="190">
        <v>30620913.34</v>
      </c>
      <c r="E201" s="181" t="s">
        <v>112</v>
      </c>
      <c r="F201" s="182"/>
      <c r="G201" s="190">
        <f>+G194</f>
        <v>32865981.530000001</v>
      </c>
    </row>
    <row r="202" spans="1:8">
      <c r="A202" s="187"/>
      <c r="B202" s="187"/>
      <c r="C202" s="187"/>
      <c r="D202" s="187"/>
      <c r="E202" s="181" t="s">
        <v>113</v>
      </c>
      <c r="F202" s="182"/>
      <c r="G202" s="187"/>
    </row>
    <row r="203" spans="1:8">
      <c r="A203" s="188">
        <v>198000</v>
      </c>
      <c r="B203" s="188"/>
      <c r="C203" s="188">
        <f>+A203</f>
        <v>198000</v>
      </c>
      <c r="D203" s="188">
        <f>D136+G203</f>
        <v>14215.97</v>
      </c>
      <c r="E203" s="182" t="s">
        <v>19</v>
      </c>
      <c r="F203" s="183">
        <v>411000</v>
      </c>
      <c r="G203" s="187">
        <v>14215.97</v>
      </c>
    </row>
    <row r="204" spans="1:8">
      <c r="A204" s="188">
        <v>272200</v>
      </c>
      <c r="B204" s="188"/>
      <c r="C204" s="188">
        <f t="shared" ref="C204:C210" si="25">+A204</f>
        <v>272200</v>
      </c>
      <c r="D204" s="188">
        <f t="shared" ref="D204:D211" si="26">D137+G204</f>
        <v>80281.899999999994</v>
      </c>
      <c r="E204" s="182" t="s">
        <v>232</v>
      </c>
      <c r="F204" s="183">
        <v>412000</v>
      </c>
      <c r="G204" s="187">
        <v>15318.4</v>
      </c>
    </row>
    <row r="205" spans="1:8">
      <c r="A205" s="188">
        <v>300500</v>
      </c>
      <c r="B205" s="188"/>
      <c r="C205" s="188">
        <f t="shared" si="25"/>
        <v>300500</v>
      </c>
      <c r="D205" s="188">
        <f t="shared" si="26"/>
        <v>100021.11</v>
      </c>
      <c r="E205" s="182" t="s">
        <v>21</v>
      </c>
      <c r="F205" s="183">
        <v>413000</v>
      </c>
      <c r="G205" s="187">
        <v>100021.11</v>
      </c>
    </row>
    <row r="206" spans="1:8">
      <c r="A206" s="188">
        <v>300000</v>
      </c>
      <c r="B206" s="188"/>
      <c r="C206" s="188">
        <f t="shared" si="25"/>
        <v>300000</v>
      </c>
      <c r="D206" s="188">
        <f t="shared" si="26"/>
        <v>102635</v>
      </c>
      <c r="E206" s="182" t="s">
        <v>23</v>
      </c>
      <c r="F206" s="183">
        <v>414000</v>
      </c>
      <c r="G206" s="187">
        <v>29920</v>
      </c>
    </row>
    <row r="207" spans="1:8">
      <c r="A207" s="188">
        <v>60000</v>
      </c>
      <c r="B207" s="188"/>
      <c r="C207" s="188">
        <f t="shared" si="25"/>
        <v>60000</v>
      </c>
      <c r="D207" s="188">
        <f t="shared" si="26"/>
        <v>39418</v>
      </c>
      <c r="E207" s="182" t="s">
        <v>20</v>
      </c>
      <c r="F207" s="183">
        <v>415000</v>
      </c>
      <c r="G207" s="187">
        <v>2210</v>
      </c>
    </row>
    <row r="208" spans="1:8">
      <c r="A208" s="188">
        <v>15000</v>
      </c>
      <c r="B208" s="188"/>
      <c r="C208" s="188">
        <f t="shared" si="25"/>
        <v>15000</v>
      </c>
      <c r="D208" s="188">
        <f t="shared" si="26"/>
        <v>0</v>
      </c>
      <c r="E208" s="182" t="s">
        <v>100</v>
      </c>
      <c r="F208" s="183">
        <v>416000</v>
      </c>
      <c r="G208" s="187">
        <v>0</v>
      </c>
    </row>
    <row r="209" spans="1:7">
      <c r="A209" s="188">
        <v>16076000</v>
      </c>
      <c r="B209" s="188"/>
      <c r="C209" s="188">
        <f t="shared" si="25"/>
        <v>16076000</v>
      </c>
      <c r="D209" s="188">
        <f t="shared" si="26"/>
        <v>4832438.62</v>
      </c>
      <c r="E209" s="182" t="s">
        <v>45</v>
      </c>
      <c r="F209" s="183">
        <v>421000</v>
      </c>
      <c r="G209" s="187">
        <v>845975.86</v>
      </c>
    </row>
    <row r="210" spans="1:7">
      <c r="A210" s="188">
        <v>16100000</v>
      </c>
      <c r="B210" s="188"/>
      <c r="C210" s="188">
        <f t="shared" si="25"/>
        <v>16100000</v>
      </c>
      <c r="D210" s="188">
        <f t="shared" si="26"/>
        <v>11921964</v>
      </c>
      <c r="E210" s="182" t="s">
        <v>22</v>
      </c>
      <c r="F210" s="183">
        <v>431002</v>
      </c>
      <c r="G210" s="187">
        <v>5835157</v>
      </c>
    </row>
    <row r="211" spans="1:7">
      <c r="A211" s="187"/>
      <c r="B211" s="189">
        <f>+G211+B144</f>
        <v>5970450</v>
      </c>
      <c r="C211" s="189"/>
      <c r="D211" s="188">
        <f t="shared" si="26"/>
        <v>5970450</v>
      </c>
      <c r="E211" s="182" t="s">
        <v>376</v>
      </c>
      <c r="F211" s="183">
        <v>441000</v>
      </c>
      <c r="G211" s="187">
        <v>381310</v>
      </c>
    </row>
    <row r="212" spans="1:7">
      <c r="A212" s="190">
        <f>SUM(A203:A211)</f>
        <v>33321700</v>
      </c>
      <c r="B212" s="302">
        <f>SUM(B203:B211)</f>
        <v>5970450</v>
      </c>
      <c r="C212" s="302">
        <f>SUM(C203:C211)</f>
        <v>33321700</v>
      </c>
      <c r="D212" s="302">
        <f>SUM(D203:D211)</f>
        <v>23061424.600000001</v>
      </c>
      <c r="E212" s="303" t="s">
        <v>17</v>
      </c>
      <c r="F212" s="304"/>
      <c r="G212" s="190">
        <f>SUM(G203:G211)</f>
        <v>7224128.3399999999</v>
      </c>
    </row>
    <row r="213" spans="1:7">
      <c r="A213" s="187"/>
      <c r="B213" s="189"/>
      <c r="C213" s="189"/>
      <c r="D213" s="189">
        <f>D146+G213</f>
        <v>1648986</v>
      </c>
      <c r="E213" s="306" t="s">
        <v>335</v>
      </c>
      <c r="F213" s="183">
        <v>113100</v>
      </c>
      <c r="G213" s="187">
        <v>803200</v>
      </c>
    </row>
    <row r="214" spans="1:7">
      <c r="A214" s="187"/>
      <c r="B214" s="189"/>
      <c r="C214" s="189"/>
      <c r="D214" s="189">
        <f>+G214</f>
        <v>238.97</v>
      </c>
      <c r="E214" s="306" t="s">
        <v>48</v>
      </c>
      <c r="F214" s="183">
        <v>113302</v>
      </c>
      <c r="G214" s="187">
        <v>238.97</v>
      </c>
    </row>
    <row r="215" spans="1:7">
      <c r="A215" s="187"/>
      <c r="B215" s="189"/>
      <c r="C215" s="189"/>
      <c r="D215" s="189">
        <f>D147+G215</f>
        <v>2093520</v>
      </c>
      <c r="E215" s="306" t="s">
        <v>110</v>
      </c>
      <c r="F215" s="183">
        <v>113700</v>
      </c>
      <c r="G215" s="187">
        <v>0</v>
      </c>
    </row>
    <row r="216" spans="1:7">
      <c r="A216" s="307"/>
      <c r="B216" s="305"/>
      <c r="C216" s="305"/>
      <c r="D216" s="189">
        <f>D148+G216</f>
        <v>32340</v>
      </c>
      <c r="E216" s="306" t="s">
        <v>336</v>
      </c>
      <c r="F216" s="183">
        <v>113200</v>
      </c>
      <c r="G216" s="307">
        <v>0</v>
      </c>
    </row>
    <row r="217" spans="1:7">
      <c r="A217" s="187"/>
      <c r="B217" s="189"/>
      <c r="C217" s="189"/>
      <c r="D217" s="189">
        <f>D149+G217</f>
        <v>46553.920000000006</v>
      </c>
      <c r="E217" s="182" t="s">
        <v>378</v>
      </c>
      <c r="F217" s="183">
        <v>215001</v>
      </c>
      <c r="G217" s="187">
        <v>6415.87</v>
      </c>
    </row>
    <row r="218" spans="1:7">
      <c r="A218" s="187"/>
      <c r="B218" s="189"/>
      <c r="C218" s="189"/>
      <c r="D218" s="189">
        <f>+G218</f>
        <v>66.11999999999999</v>
      </c>
      <c r="E218" s="182" t="s">
        <v>456</v>
      </c>
      <c r="F218" s="183">
        <v>215004</v>
      </c>
      <c r="G218" s="187">
        <f>66.1+0.02</f>
        <v>66.11999999999999</v>
      </c>
    </row>
    <row r="219" spans="1:7">
      <c r="A219" s="187"/>
      <c r="B219" s="189"/>
      <c r="C219" s="189"/>
      <c r="D219" s="189">
        <f>D150+G219</f>
        <v>216109</v>
      </c>
      <c r="E219" s="182" t="s">
        <v>379</v>
      </c>
      <c r="F219" s="183">
        <v>215008</v>
      </c>
      <c r="G219" s="187">
        <v>101499</v>
      </c>
    </row>
    <row r="220" spans="1:7">
      <c r="A220" s="187"/>
      <c r="B220" s="189"/>
      <c r="C220" s="189"/>
      <c r="D220" s="189">
        <f>D151+G220</f>
        <v>7549.96</v>
      </c>
      <c r="E220" s="182" t="s">
        <v>380</v>
      </c>
      <c r="F220" s="183">
        <v>215016</v>
      </c>
      <c r="G220" s="187">
        <v>0</v>
      </c>
    </row>
    <row r="221" spans="1:7">
      <c r="A221" s="187"/>
      <c r="B221" s="189"/>
      <c r="C221" s="189"/>
      <c r="D221" s="189">
        <f>D152+G221</f>
        <v>7666</v>
      </c>
      <c r="E221" s="182" t="s">
        <v>416</v>
      </c>
      <c r="F221" s="183">
        <v>215999</v>
      </c>
      <c r="G221" s="187">
        <v>582</v>
      </c>
    </row>
    <row r="222" spans="1:7">
      <c r="A222" s="187"/>
      <c r="B222" s="189"/>
      <c r="C222" s="189"/>
      <c r="D222" s="189">
        <f>D153+G222</f>
        <v>21000</v>
      </c>
      <c r="E222" s="182" t="s">
        <v>425</v>
      </c>
      <c r="F222" s="183">
        <v>215999</v>
      </c>
      <c r="G222" s="187">
        <v>0</v>
      </c>
    </row>
    <row r="223" spans="1:7">
      <c r="A223" s="187"/>
      <c r="B223" s="189"/>
      <c r="C223" s="189"/>
      <c r="D223" s="189">
        <f>+G223</f>
        <v>17955</v>
      </c>
      <c r="E223" s="182" t="s">
        <v>457</v>
      </c>
      <c r="F223" s="183">
        <v>215999</v>
      </c>
      <c r="G223" s="187">
        <v>17955</v>
      </c>
    </row>
    <row r="224" spans="1:7">
      <c r="A224" s="187"/>
      <c r="B224" s="189"/>
      <c r="C224" s="189"/>
      <c r="D224" s="189">
        <f>D154+G224</f>
        <v>23560</v>
      </c>
      <c r="E224" s="182" t="s">
        <v>426</v>
      </c>
      <c r="F224" s="183">
        <v>300000</v>
      </c>
      <c r="G224" s="187">
        <v>0</v>
      </c>
    </row>
    <row r="225" spans="1:7">
      <c r="A225" s="187"/>
      <c r="B225" s="189"/>
      <c r="C225" s="189"/>
      <c r="D225" s="189">
        <f>+G225</f>
        <v>10000</v>
      </c>
      <c r="E225" s="182" t="s">
        <v>458</v>
      </c>
      <c r="F225" s="183">
        <v>113100</v>
      </c>
      <c r="G225" s="187">
        <v>10000</v>
      </c>
    </row>
    <row r="226" spans="1:7">
      <c r="A226" s="187"/>
      <c r="B226" s="189"/>
      <c r="C226" s="189"/>
      <c r="D226" s="189">
        <f>D155+G226</f>
        <v>3</v>
      </c>
      <c r="E226" s="182" t="s">
        <v>215</v>
      </c>
      <c r="F226" s="183">
        <v>216001</v>
      </c>
      <c r="G226" s="187">
        <v>0</v>
      </c>
    </row>
    <row r="227" spans="1:7">
      <c r="A227" s="182"/>
      <c r="B227" s="184"/>
      <c r="C227" s="184"/>
      <c r="D227" s="188"/>
      <c r="E227" s="182"/>
      <c r="F227" s="183"/>
      <c r="G227" s="187"/>
    </row>
    <row r="228" spans="1:7">
      <c r="A228" s="297">
        <f>SUM(A212:A227)</f>
        <v>33321700</v>
      </c>
      <c r="B228" s="297">
        <f>SUM(B212:B227)</f>
        <v>5970450</v>
      </c>
      <c r="C228" s="297">
        <f>SUM(C212:C227)</f>
        <v>33321700</v>
      </c>
      <c r="D228" s="191">
        <f>SUM(D212:D227)</f>
        <v>27186972.570000004</v>
      </c>
      <c r="E228" s="355" t="s">
        <v>31</v>
      </c>
      <c r="F228" s="298"/>
      <c r="G228" s="191">
        <f>SUM(G212:G227)</f>
        <v>8164085.2999999998</v>
      </c>
    </row>
    <row r="233" spans="1:7">
      <c r="A233" s="410" t="s">
        <v>111</v>
      </c>
      <c r="B233" s="410"/>
      <c r="C233" s="410"/>
      <c r="D233" s="410"/>
      <c r="E233" s="411" t="s">
        <v>0</v>
      </c>
      <c r="F233" s="411" t="s">
        <v>109</v>
      </c>
      <c r="G233" s="413" t="s">
        <v>375</v>
      </c>
    </row>
    <row r="234" spans="1:7" ht="57" thickBot="1">
      <c r="A234" s="285" t="s">
        <v>372</v>
      </c>
      <c r="B234" s="285" t="s">
        <v>371</v>
      </c>
      <c r="C234" s="285" t="s">
        <v>374</v>
      </c>
      <c r="D234" s="285" t="s">
        <v>373</v>
      </c>
      <c r="E234" s="412"/>
      <c r="F234" s="412"/>
      <c r="G234" s="412"/>
    </row>
    <row r="235" spans="1:7" ht="19.5" thickTop="1">
      <c r="A235" s="310"/>
      <c r="B235" s="187"/>
      <c r="C235" s="187"/>
      <c r="D235" s="187"/>
      <c r="E235" s="181" t="s">
        <v>29</v>
      </c>
      <c r="F235" s="182"/>
      <c r="G235" s="192"/>
    </row>
    <row r="236" spans="1:7" ht="19.5">
      <c r="A236" s="187">
        <v>3708560</v>
      </c>
      <c r="B236" s="187"/>
      <c r="C236" s="187">
        <f>+A236</f>
        <v>3708560</v>
      </c>
      <c r="D236" s="188">
        <f t="shared" ref="D236:D246" si="27">+G236+D165</f>
        <v>651730.67999999993</v>
      </c>
      <c r="E236" s="288" t="s">
        <v>11</v>
      </c>
      <c r="F236" s="186">
        <v>100000</v>
      </c>
      <c r="G236" s="193">
        <v>221632.68</v>
      </c>
    </row>
    <row r="237" spans="1:7" ht="19.5">
      <c r="A237" s="187">
        <v>2624640</v>
      </c>
      <c r="B237" s="187"/>
      <c r="C237" s="187">
        <f t="shared" ref="C237:C246" si="28">+A237</f>
        <v>2624640</v>
      </c>
      <c r="D237" s="188">
        <f t="shared" si="27"/>
        <v>874880</v>
      </c>
      <c r="E237" s="288" t="s">
        <v>114</v>
      </c>
      <c r="F237" s="186">
        <v>210000</v>
      </c>
      <c r="G237" s="194">
        <v>218720</v>
      </c>
    </row>
    <row r="238" spans="1:7" ht="19.5">
      <c r="A238" s="187">
        <f>4048500+1923300+432000+730300+361400+1376000+589300</f>
        <v>9460800</v>
      </c>
      <c r="B238" s="187"/>
      <c r="C238" s="187">
        <f t="shared" si="28"/>
        <v>9460800</v>
      </c>
      <c r="D238" s="188">
        <f t="shared" si="27"/>
        <v>2926882.25</v>
      </c>
      <c r="E238" s="288" t="s">
        <v>115</v>
      </c>
      <c r="F238" s="186">
        <v>220000</v>
      </c>
      <c r="G238" s="194">
        <v>856342.64</v>
      </c>
    </row>
    <row r="239" spans="1:7" ht="19.5">
      <c r="A239" s="349">
        <f>316000+115800+28000+30000+36000+10500+123000+28800-20000</f>
        <v>668100</v>
      </c>
      <c r="B239" s="349"/>
      <c r="C239" s="349">
        <f t="shared" si="28"/>
        <v>668100</v>
      </c>
      <c r="D239" s="188">
        <f t="shared" si="27"/>
        <v>101553.25</v>
      </c>
      <c r="E239" s="351" t="s">
        <v>5</v>
      </c>
      <c r="F239" s="352">
        <v>310000</v>
      </c>
      <c r="G239" s="353">
        <v>29000</v>
      </c>
    </row>
    <row r="240" spans="1:7" ht="19.5">
      <c r="A240" s="349">
        <f>+A169+90000-90000-40000</f>
        <v>5112500</v>
      </c>
      <c r="B240" s="349"/>
      <c r="C240" s="349">
        <f t="shared" si="28"/>
        <v>5112500</v>
      </c>
      <c r="D240" s="188">
        <f t="shared" si="27"/>
        <v>944801.44</v>
      </c>
      <c r="E240" s="351" t="s">
        <v>6</v>
      </c>
      <c r="F240" s="352">
        <v>320000</v>
      </c>
      <c r="G240" s="353">
        <v>142086.5</v>
      </c>
    </row>
    <row r="241" spans="1:8" ht="19.5">
      <c r="A241" s="349">
        <f>550000+105000+2178000+120000+60000+350000+450000+50000+140000+10000+50000</f>
        <v>4063000</v>
      </c>
      <c r="B241" s="349"/>
      <c r="C241" s="349">
        <f t="shared" si="28"/>
        <v>4063000</v>
      </c>
      <c r="D241" s="188">
        <f t="shared" si="27"/>
        <v>404289.92999999993</v>
      </c>
      <c r="E241" s="351" t="s">
        <v>7</v>
      </c>
      <c r="F241" s="352">
        <v>330000</v>
      </c>
      <c r="G241" s="353">
        <v>71151.59</v>
      </c>
    </row>
    <row r="242" spans="1:8" ht="19.5">
      <c r="A242" s="349">
        <f>450000+450000</f>
        <v>900000</v>
      </c>
      <c r="B242" s="349"/>
      <c r="C242" s="349">
        <f t="shared" si="28"/>
        <v>900000</v>
      </c>
      <c r="D242" s="188">
        <f t="shared" si="27"/>
        <v>254566.75</v>
      </c>
      <c r="E242" s="351" t="s">
        <v>8</v>
      </c>
      <c r="F242" s="352">
        <v>340000</v>
      </c>
      <c r="G242" s="353">
        <v>20586.89</v>
      </c>
    </row>
    <row r="243" spans="1:8" ht="19.5">
      <c r="A243" s="349">
        <f>50000+36000+113000+91600+71000+70500+9900+26000-15900</f>
        <v>452100</v>
      </c>
      <c r="B243" s="349"/>
      <c r="C243" s="349">
        <f t="shared" si="28"/>
        <v>452100</v>
      </c>
      <c r="D243" s="188">
        <f t="shared" si="27"/>
        <v>14970</v>
      </c>
      <c r="E243" s="351" t="s">
        <v>9</v>
      </c>
      <c r="F243" s="352">
        <v>410000</v>
      </c>
      <c r="G243" s="353">
        <v>14970</v>
      </c>
    </row>
    <row r="244" spans="1:8" ht="19.5">
      <c r="A244" s="187">
        <f>398000+15000+1726000</f>
        <v>2139000</v>
      </c>
      <c r="B244" s="187"/>
      <c r="C244" s="187">
        <f t="shared" si="28"/>
        <v>2139000</v>
      </c>
      <c r="D244" s="188">
        <f t="shared" si="27"/>
        <v>15000</v>
      </c>
      <c r="E244" s="288" t="s">
        <v>10</v>
      </c>
      <c r="F244" s="186">
        <v>420000</v>
      </c>
      <c r="G244" s="194">
        <v>15000</v>
      </c>
    </row>
    <row r="245" spans="1:8" ht="19.5">
      <c r="A245" s="187">
        <f>25000-20000</f>
        <v>5000</v>
      </c>
      <c r="B245" s="187"/>
      <c r="C245" s="187">
        <f t="shared" si="28"/>
        <v>5000</v>
      </c>
      <c r="D245" s="188">
        <f t="shared" si="27"/>
        <v>0</v>
      </c>
      <c r="E245" s="288" t="s">
        <v>377</v>
      </c>
      <c r="F245" s="183">
        <v>510000</v>
      </c>
      <c r="G245" s="194">
        <v>0</v>
      </c>
    </row>
    <row r="246" spans="1:8">
      <c r="A246" s="187">
        <f>20000+3792000+240000+10000+126000</f>
        <v>4188000</v>
      </c>
      <c r="B246" s="187"/>
      <c r="C246" s="187">
        <f t="shared" si="28"/>
        <v>4188000</v>
      </c>
      <c r="D246" s="188">
        <f t="shared" si="27"/>
        <v>1937000</v>
      </c>
      <c r="E246" s="288" t="s">
        <v>13</v>
      </c>
      <c r="F246" s="186">
        <v>610000</v>
      </c>
      <c r="G246" s="187">
        <v>955000</v>
      </c>
    </row>
    <row r="247" spans="1:8">
      <c r="A247" s="190">
        <f>SUM(A236:A246)</f>
        <v>33321700</v>
      </c>
      <c r="B247" s="190">
        <f t="shared" ref="B247" si="29">SUM(B236:B246)</f>
        <v>0</v>
      </c>
      <c r="C247" s="190">
        <f>SUM(C236:C246)</f>
        <v>33321700</v>
      </c>
      <c r="D247" s="190">
        <f>SUM(D236:D246)</f>
        <v>8125674.2999999989</v>
      </c>
      <c r="E247" s="300" t="s">
        <v>17</v>
      </c>
      <c r="F247" s="299"/>
      <c r="G247" s="190">
        <f>SUM(G236:G246)</f>
        <v>2544490.2999999998</v>
      </c>
      <c r="H247" s="6">
        <f>+A228-A247</f>
        <v>0</v>
      </c>
    </row>
    <row r="248" spans="1:8">
      <c r="A248" s="190"/>
      <c r="B248" s="187">
        <f>+G248+B177</f>
        <v>4386890.33</v>
      </c>
      <c r="C248" s="190"/>
      <c r="D248" s="187">
        <f t="shared" ref="D248:D260" si="30">D177+G248</f>
        <v>4386890.33</v>
      </c>
      <c r="E248" s="289" t="str">
        <f>+E211</f>
        <v>เงินอุดหนุนทั่วไปกำหนดวัตถุประสงค์/เฉพาะกิจ</v>
      </c>
      <c r="F248" s="186">
        <v>441000</v>
      </c>
      <c r="G248" s="187">
        <f>119900+41600+1640+114960+32800+699200+104000</f>
        <v>1114100</v>
      </c>
    </row>
    <row r="249" spans="1:8">
      <c r="A249" s="187"/>
      <c r="B249" s="187"/>
      <c r="C249" s="187"/>
      <c r="D249" s="187">
        <f t="shared" si="30"/>
        <v>626821</v>
      </c>
      <c r="E249" s="289" t="s">
        <v>15</v>
      </c>
      <c r="F249" s="183">
        <v>310000</v>
      </c>
      <c r="G249" s="187">
        <v>0</v>
      </c>
    </row>
    <row r="250" spans="1:8">
      <c r="A250" s="187"/>
      <c r="B250" s="189"/>
      <c r="C250" s="189"/>
      <c r="D250" s="187">
        <f t="shared" si="30"/>
        <v>0</v>
      </c>
      <c r="E250" s="288" t="s">
        <v>350</v>
      </c>
      <c r="F250" s="186">
        <v>320000</v>
      </c>
      <c r="G250" s="187">
        <v>0</v>
      </c>
    </row>
    <row r="251" spans="1:8">
      <c r="A251" s="187"/>
      <c r="B251" s="189"/>
      <c r="C251" s="189"/>
      <c r="D251" s="187">
        <f t="shared" si="30"/>
        <v>433845.1</v>
      </c>
      <c r="E251" s="288" t="s">
        <v>337</v>
      </c>
      <c r="F251" s="186">
        <v>112002</v>
      </c>
      <c r="G251" s="187">
        <v>0</v>
      </c>
    </row>
    <row r="252" spans="1:8">
      <c r="A252" s="187"/>
      <c r="B252" s="189"/>
      <c r="C252" s="189"/>
      <c r="D252" s="187">
        <f t="shared" si="30"/>
        <v>1764386</v>
      </c>
      <c r="E252" s="288" t="s">
        <v>335</v>
      </c>
      <c r="F252" s="186">
        <v>113100</v>
      </c>
      <c r="G252" s="187">
        <v>918600</v>
      </c>
    </row>
    <row r="253" spans="1:8">
      <c r="A253" s="187"/>
      <c r="B253" s="189"/>
      <c r="C253" s="189"/>
      <c r="D253" s="187">
        <f t="shared" si="30"/>
        <v>2061180</v>
      </c>
      <c r="E253" s="288" t="s">
        <v>110</v>
      </c>
      <c r="F253" s="186">
        <v>113700</v>
      </c>
      <c r="G253" s="187">
        <v>0</v>
      </c>
    </row>
    <row r="254" spans="1:8">
      <c r="A254" s="187"/>
      <c r="B254" s="189"/>
      <c r="C254" s="189"/>
      <c r="D254" s="187">
        <f t="shared" si="30"/>
        <v>32340</v>
      </c>
      <c r="E254" s="288" t="s">
        <v>336</v>
      </c>
      <c r="F254" s="186">
        <v>113200</v>
      </c>
      <c r="G254" s="187">
        <v>0</v>
      </c>
    </row>
    <row r="255" spans="1:8">
      <c r="A255" s="187"/>
      <c r="B255" s="189"/>
      <c r="C255" s="189"/>
      <c r="D255" s="187">
        <f t="shared" si="30"/>
        <v>4101983</v>
      </c>
      <c r="E255" s="288" t="s">
        <v>348</v>
      </c>
      <c r="F255" s="186">
        <v>211000</v>
      </c>
      <c r="G255" s="187">
        <v>518423</v>
      </c>
    </row>
    <row r="256" spans="1:8">
      <c r="A256" s="187"/>
      <c r="B256" s="189"/>
      <c r="C256" s="189"/>
      <c r="D256" s="187">
        <f t="shared" si="30"/>
        <v>49161.66</v>
      </c>
      <c r="E256" s="288" t="s">
        <v>460</v>
      </c>
      <c r="F256" s="186">
        <v>215001</v>
      </c>
      <c r="G256" s="187">
        <v>12441.01</v>
      </c>
    </row>
    <row r="257" spans="1:8">
      <c r="A257" s="187"/>
      <c r="B257" s="189"/>
      <c r="C257" s="189"/>
      <c r="D257" s="187">
        <f t="shared" si="30"/>
        <v>123243</v>
      </c>
      <c r="E257" s="288" t="s">
        <v>379</v>
      </c>
      <c r="F257" s="186">
        <v>215008</v>
      </c>
      <c r="G257" s="187">
        <v>48290</v>
      </c>
    </row>
    <row r="258" spans="1:8">
      <c r="A258" s="187"/>
      <c r="B258" s="189"/>
      <c r="C258" s="189"/>
      <c r="D258" s="187">
        <f t="shared" si="30"/>
        <v>221552</v>
      </c>
      <c r="E258" s="288" t="s">
        <v>382</v>
      </c>
      <c r="F258" s="186">
        <v>215014</v>
      </c>
      <c r="G258" s="187">
        <v>0</v>
      </c>
    </row>
    <row r="259" spans="1:8">
      <c r="A259" s="187"/>
      <c r="B259" s="189"/>
      <c r="C259" s="189"/>
      <c r="D259" s="187">
        <f t="shared" si="30"/>
        <v>7084</v>
      </c>
      <c r="E259" s="288" t="s">
        <v>416</v>
      </c>
      <c r="F259" s="186">
        <v>215999</v>
      </c>
      <c r="G259" s="187">
        <v>0</v>
      </c>
    </row>
    <row r="260" spans="1:8">
      <c r="A260" s="198"/>
      <c r="B260" s="198"/>
      <c r="C260" s="198"/>
      <c r="D260" s="187">
        <f t="shared" si="30"/>
        <v>3</v>
      </c>
      <c r="E260" s="294" t="s">
        <v>215</v>
      </c>
      <c r="F260" s="295">
        <v>216001</v>
      </c>
      <c r="G260" s="198">
        <v>0</v>
      </c>
    </row>
    <row r="261" spans="1:8">
      <c r="A261" s="191">
        <f>SUM(A247:A260)</f>
        <v>33321700</v>
      </c>
      <c r="B261" s="191">
        <f>SUM(B247:B260)</f>
        <v>4386890.33</v>
      </c>
      <c r="C261" s="191">
        <f>SUM(C247:C260)</f>
        <v>33321700</v>
      </c>
      <c r="D261" s="191">
        <f>SUM(D247:D260)</f>
        <v>21934163.389999997</v>
      </c>
      <c r="E261" s="296" t="s">
        <v>30</v>
      </c>
      <c r="F261" s="301"/>
      <c r="G261" s="191">
        <f>SUM(G247:G260)</f>
        <v>5156344.3099999996</v>
      </c>
    </row>
    <row r="262" spans="1:8">
      <c r="D262" s="182"/>
      <c r="E262" s="356" t="s">
        <v>116</v>
      </c>
      <c r="F262" s="184"/>
      <c r="G262" s="182"/>
    </row>
    <row r="263" spans="1:8">
      <c r="D263" s="195"/>
      <c r="E263" s="356" t="s">
        <v>119</v>
      </c>
      <c r="F263" s="184"/>
      <c r="G263" s="195"/>
    </row>
    <row r="264" spans="1:8">
      <c r="D264" s="195">
        <f>SUM(D228-D261)</f>
        <v>5252809.1800000072</v>
      </c>
      <c r="E264" s="356" t="s">
        <v>117</v>
      </c>
      <c r="G264" s="195">
        <f>SUM(G228-G261)</f>
        <v>3007740.99</v>
      </c>
    </row>
    <row r="265" spans="1:8" ht="19.5" thickBot="1">
      <c r="D265" s="196">
        <f>SUM(D201+D228-D261)</f>
        <v>35873722.520000011</v>
      </c>
      <c r="E265" s="356" t="s">
        <v>118</v>
      </c>
      <c r="G265" s="196">
        <f>SUM(G201+G228-G261)</f>
        <v>35873722.519999996</v>
      </c>
      <c r="H265" s="6">
        <f>+งบดุลบัญชี!AC5</f>
        <v>35873656.570000008</v>
      </c>
    </row>
    <row r="266" spans="1:8" ht="19.5" thickTop="1">
      <c r="A266" s="414" t="s">
        <v>28</v>
      </c>
      <c r="B266" s="414"/>
      <c r="C266" s="414"/>
      <c r="D266" s="414"/>
      <c r="E266" s="414"/>
      <c r="F266" s="414"/>
      <c r="G266" s="414"/>
      <c r="H266" s="6">
        <f>+งบดุลบัญชี!AC4</f>
        <v>65.95</v>
      </c>
    </row>
    <row r="267" spans="1:8">
      <c r="A267" s="414" t="s">
        <v>383</v>
      </c>
      <c r="B267" s="414"/>
      <c r="C267" s="414"/>
      <c r="D267" s="414"/>
      <c r="E267" s="414"/>
      <c r="F267" s="414"/>
      <c r="G267" s="414"/>
      <c r="H267" s="6">
        <f>+H265+H266</f>
        <v>35873722.520000011</v>
      </c>
    </row>
    <row r="268" spans="1:8">
      <c r="A268" s="414" t="s">
        <v>461</v>
      </c>
      <c r="B268" s="414"/>
      <c r="C268" s="414"/>
      <c r="D268" s="414"/>
      <c r="E268" s="414"/>
      <c r="F268" s="414"/>
      <c r="G268" s="414"/>
    </row>
    <row r="269" spans="1:8">
      <c r="G269" s="365"/>
    </row>
    <row r="270" spans="1:8">
      <c r="A270" s="410" t="s">
        <v>111</v>
      </c>
      <c r="B270" s="410"/>
      <c r="C270" s="410"/>
      <c r="D270" s="410"/>
      <c r="E270" s="411" t="s">
        <v>0</v>
      </c>
      <c r="F270" s="411" t="s">
        <v>109</v>
      </c>
      <c r="G270" s="413" t="s">
        <v>375</v>
      </c>
    </row>
    <row r="271" spans="1:8" ht="57" thickBot="1">
      <c r="A271" s="285" t="s">
        <v>372</v>
      </c>
      <c r="B271" s="285" t="s">
        <v>371</v>
      </c>
      <c r="C271" s="285" t="s">
        <v>374</v>
      </c>
      <c r="D271" s="285" t="s">
        <v>373</v>
      </c>
      <c r="E271" s="412"/>
      <c r="F271" s="412"/>
      <c r="G271" s="412"/>
    </row>
    <row r="272" spans="1:8" ht="19.5" thickTop="1">
      <c r="A272" s="310"/>
      <c r="B272" s="187"/>
      <c r="C272" s="187"/>
      <c r="D272" s="190">
        <v>30620913.34</v>
      </c>
      <c r="E272" s="181" t="s">
        <v>112</v>
      </c>
      <c r="F272" s="182"/>
      <c r="G272" s="190">
        <f>+G265</f>
        <v>35873722.519999996</v>
      </c>
    </row>
    <row r="273" spans="1:7">
      <c r="A273" s="187"/>
      <c r="B273" s="187"/>
      <c r="C273" s="187"/>
      <c r="D273" s="187"/>
      <c r="E273" s="181" t="s">
        <v>113</v>
      </c>
      <c r="F273" s="182"/>
      <c r="G273" s="187"/>
    </row>
    <row r="274" spans="1:7">
      <c r="A274" s="188">
        <v>198000</v>
      </c>
      <c r="B274" s="188"/>
      <c r="C274" s="188">
        <f>+A274</f>
        <v>198000</v>
      </c>
      <c r="D274" s="188">
        <f>D203+G274</f>
        <v>91758.73</v>
      </c>
      <c r="E274" s="182" t="s">
        <v>19</v>
      </c>
      <c r="F274" s="183">
        <v>411000</v>
      </c>
      <c r="G274" s="187">
        <v>77542.759999999995</v>
      </c>
    </row>
    <row r="275" spans="1:7">
      <c r="A275" s="188">
        <v>272200</v>
      </c>
      <c r="B275" s="188"/>
      <c r="C275" s="188">
        <f t="shared" ref="C275:C281" si="31">+A275</f>
        <v>272200</v>
      </c>
      <c r="D275" s="188">
        <f t="shared" ref="D275:D281" si="32">D204+G275</f>
        <v>94028.819999999992</v>
      </c>
      <c r="E275" s="182" t="s">
        <v>232</v>
      </c>
      <c r="F275" s="183">
        <v>412000</v>
      </c>
      <c r="G275" s="187">
        <v>13746.92</v>
      </c>
    </row>
    <row r="276" spans="1:7">
      <c r="A276" s="188">
        <v>300500</v>
      </c>
      <c r="B276" s="188"/>
      <c r="C276" s="188">
        <f t="shared" si="31"/>
        <v>300500</v>
      </c>
      <c r="D276" s="188">
        <f t="shared" si="32"/>
        <v>100021.11</v>
      </c>
      <c r="E276" s="182" t="s">
        <v>21</v>
      </c>
      <c r="F276" s="183">
        <v>413000</v>
      </c>
      <c r="G276" s="187">
        <v>0</v>
      </c>
    </row>
    <row r="277" spans="1:7">
      <c r="A277" s="188">
        <v>300000</v>
      </c>
      <c r="B277" s="188"/>
      <c r="C277" s="188">
        <f t="shared" si="31"/>
        <v>300000</v>
      </c>
      <c r="D277" s="188">
        <f t="shared" si="32"/>
        <v>121145</v>
      </c>
      <c r="E277" s="182" t="s">
        <v>23</v>
      </c>
      <c r="F277" s="183">
        <v>414000</v>
      </c>
      <c r="G277" s="187">
        <v>18510</v>
      </c>
    </row>
    <row r="278" spans="1:7">
      <c r="A278" s="188">
        <v>60000</v>
      </c>
      <c r="B278" s="188"/>
      <c r="C278" s="188">
        <f t="shared" si="31"/>
        <v>60000</v>
      </c>
      <c r="D278" s="188">
        <f t="shared" si="32"/>
        <v>237850.92</v>
      </c>
      <c r="E278" s="182" t="s">
        <v>20</v>
      </c>
      <c r="F278" s="183">
        <v>415000</v>
      </c>
      <c r="G278" s="187">
        <f>198432.41+0.51</f>
        <v>198432.92</v>
      </c>
    </row>
    <row r="279" spans="1:7">
      <c r="A279" s="188">
        <v>15000</v>
      </c>
      <c r="B279" s="188"/>
      <c r="C279" s="188">
        <f t="shared" si="31"/>
        <v>15000</v>
      </c>
      <c r="D279" s="188">
        <f t="shared" si="32"/>
        <v>0</v>
      </c>
      <c r="E279" s="182" t="s">
        <v>100</v>
      </c>
      <c r="F279" s="183">
        <v>416000</v>
      </c>
      <c r="G279" s="187">
        <v>0</v>
      </c>
    </row>
    <row r="280" spans="1:7">
      <c r="A280" s="188">
        <v>16076000</v>
      </c>
      <c r="B280" s="188"/>
      <c r="C280" s="188">
        <f t="shared" si="31"/>
        <v>16076000</v>
      </c>
      <c r="D280" s="188">
        <f t="shared" si="32"/>
        <v>6352399.6699999999</v>
      </c>
      <c r="E280" s="182" t="s">
        <v>45</v>
      </c>
      <c r="F280" s="183">
        <v>421000</v>
      </c>
      <c r="G280" s="187">
        <v>1519961.05</v>
      </c>
    </row>
    <row r="281" spans="1:7">
      <c r="A281" s="188">
        <v>16100000</v>
      </c>
      <c r="B281" s="188"/>
      <c r="C281" s="188">
        <f t="shared" si="31"/>
        <v>16100000</v>
      </c>
      <c r="D281" s="188">
        <f t="shared" si="32"/>
        <v>11921964</v>
      </c>
      <c r="E281" s="182" t="s">
        <v>22</v>
      </c>
      <c r="F281" s="183">
        <v>431002</v>
      </c>
      <c r="G281" s="187">
        <v>0</v>
      </c>
    </row>
    <row r="282" spans="1:7">
      <c r="A282" s="187"/>
      <c r="B282" s="189">
        <f>+G282+B215</f>
        <v>0</v>
      </c>
      <c r="C282" s="189"/>
      <c r="D282" s="188">
        <f>D211+G282</f>
        <v>5970450</v>
      </c>
      <c r="E282" s="182" t="s">
        <v>376</v>
      </c>
      <c r="F282" s="183">
        <v>441000</v>
      </c>
      <c r="G282" s="187">
        <v>0</v>
      </c>
    </row>
    <row r="283" spans="1:7">
      <c r="A283" s="190">
        <f>SUM(A274:A282)</f>
        <v>33321700</v>
      </c>
      <c r="B283" s="302">
        <f>SUM(B274:B282)</f>
        <v>0</v>
      </c>
      <c r="C283" s="302">
        <f>SUM(C274:C282)</f>
        <v>33321700</v>
      </c>
      <c r="D283" s="302">
        <f>SUM(D274:D282)</f>
        <v>24889618.25</v>
      </c>
      <c r="E283" s="303" t="s">
        <v>17</v>
      </c>
      <c r="F283" s="304"/>
      <c r="G283" s="190">
        <f>SUM(G274:G282)</f>
        <v>1828193.65</v>
      </c>
    </row>
    <row r="284" spans="1:7">
      <c r="A284" s="187"/>
      <c r="B284" s="189"/>
      <c r="C284" s="189"/>
      <c r="D284" s="189">
        <f>D213+G284</f>
        <v>2494686</v>
      </c>
      <c r="E284" s="306" t="s">
        <v>335</v>
      </c>
      <c r="F284" s="183">
        <v>113100</v>
      </c>
      <c r="G284" s="187">
        <f>4800+4800+3900+35000+797200</f>
        <v>845700</v>
      </c>
    </row>
    <row r="285" spans="1:7">
      <c r="A285" s="187"/>
      <c r="B285" s="189"/>
      <c r="C285" s="189"/>
      <c r="D285" s="189">
        <f t="shared" ref="D285:D294" si="33">D214+G285</f>
        <v>2266.71</v>
      </c>
      <c r="E285" s="306" t="s">
        <v>48</v>
      </c>
      <c r="F285" s="183">
        <v>113302</v>
      </c>
      <c r="G285" s="187">
        <v>2027.74</v>
      </c>
    </row>
    <row r="286" spans="1:7">
      <c r="A286" s="187"/>
      <c r="B286" s="189"/>
      <c r="C286" s="189"/>
      <c r="D286" s="189">
        <f t="shared" si="33"/>
        <v>2093520</v>
      </c>
      <c r="E286" s="306" t="s">
        <v>110</v>
      </c>
      <c r="F286" s="183">
        <v>113700</v>
      </c>
      <c r="G286" s="187">
        <v>0</v>
      </c>
    </row>
    <row r="287" spans="1:7">
      <c r="A287" s="307"/>
      <c r="B287" s="305"/>
      <c r="C287" s="305"/>
      <c r="D287" s="189">
        <f t="shared" si="33"/>
        <v>32340</v>
      </c>
      <c r="E287" s="306" t="s">
        <v>336</v>
      </c>
      <c r="F287" s="183">
        <v>113200</v>
      </c>
      <c r="G287" s="307">
        <v>0</v>
      </c>
    </row>
    <row r="288" spans="1:7">
      <c r="A288" s="187"/>
      <c r="B288" s="189"/>
      <c r="C288" s="189"/>
      <c r="D288" s="189">
        <f t="shared" si="33"/>
        <v>63176.250000000007</v>
      </c>
      <c r="E288" s="182" t="s">
        <v>378</v>
      </c>
      <c r="F288" s="183">
        <v>215001</v>
      </c>
      <c r="G288" s="187">
        <v>16622.330000000002</v>
      </c>
    </row>
    <row r="289" spans="1:7">
      <c r="A289" s="187"/>
      <c r="B289" s="189"/>
      <c r="C289" s="189"/>
      <c r="D289" s="189">
        <f t="shared" si="33"/>
        <v>442.34000000000003</v>
      </c>
      <c r="E289" s="182" t="s">
        <v>456</v>
      </c>
      <c r="F289" s="183">
        <v>215004</v>
      </c>
      <c r="G289" s="187">
        <v>376.22</v>
      </c>
    </row>
    <row r="290" spans="1:7">
      <c r="A290" s="187"/>
      <c r="B290" s="189"/>
      <c r="C290" s="189"/>
      <c r="D290" s="189">
        <f t="shared" si="33"/>
        <v>308284</v>
      </c>
      <c r="E290" s="182" t="s">
        <v>379</v>
      </c>
      <c r="F290" s="183">
        <v>215008</v>
      </c>
      <c r="G290" s="187">
        <v>92175</v>
      </c>
    </row>
    <row r="291" spans="1:7">
      <c r="A291" s="187"/>
      <c r="B291" s="189"/>
      <c r="C291" s="189"/>
      <c r="D291" s="189">
        <f t="shared" si="33"/>
        <v>79953.570000000007</v>
      </c>
      <c r="E291" s="182" t="s">
        <v>380</v>
      </c>
      <c r="F291" s="183">
        <v>215016</v>
      </c>
      <c r="G291" s="187">
        <f>56403.61+8500+7500</f>
        <v>72403.61</v>
      </c>
    </row>
    <row r="292" spans="1:7">
      <c r="A292" s="187"/>
      <c r="B292" s="189"/>
      <c r="C292" s="189"/>
      <c r="D292" s="189">
        <f t="shared" si="33"/>
        <v>7666</v>
      </c>
      <c r="E292" s="182" t="s">
        <v>416</v>
      </c>
      <c r="F292" s="183">
        <v>215999</v>
      </c>
      <c r="G292" s="187">
        <v>0</v>
      </c>
    </row>
    <row r="293" spans="1:7">
      <c r="A293" s="187"/>
      <c r="B293" s="189"/>
      <c r="C293" s="189"/>
      <c r="D293" s="189">
        <f t="shared" si="33"/>
        <v>21000</v>
      </c>
      <c r="E293" s="182" t="s">
        <v>425</v>
      </c>
      <c r="F293" s="183">
        <v>215999</v>
      </c>
      <c r="G293" s="187">
        <v>0</v>
      </c>
    </row>
    <row r="294" spans="1:7">
      <c r="A294" s="187"/>
      <c r="B294" s="189"/>
      <c r="C294" s="189"/>
      <c r="D294" s="189">
        <f t="shared" si="33"/>
        <v>17955</v>
      </c>
      <c r="E294" s="182" t="s">
        <v>457</v>
      </c>
      <c r="F294" s="183">
        <v>215999</v>
      </c>
      <c r="G294" s="187">
        <v>0</v>
      </c>
    </row>
    <row r="295" spans="1:7">
      <c r="A295" s="187"/>
      <c r="B295" s="189"/>
      <c r="C295" s="189"/>
      <c r="D295" s="189">
        <f>+G295</f>
        <v>31285.5</v>
      </c>
      <c r="E295" s="182" t="s">
        <v>462</v>
      </c>
      <c r="F295" s="183">
        <v>215999</v>
      </c>
      <c r="G295" s="187">
        <v>31285.5</v>
      </c>
    </row>
    <row r="296" spans="1:7">
      <c r="A296" s="187"/>
      <c r="B296" s="189"/>
      <c r="C296" s="189"/>
      <c r="D296" s="189">
        <f>D224+G296</f>
        <v>23560</v>
      </c>
      <c r="E296" s="182" t="s">
        <v>426</v>
      </c>
      <c r="F296" s="183">
        <v>300000</v>
      </c>
      <c r="G296" s="187">
        <v>0</v>
      </c>
    </row>
    <row r="297" spans="1:7">
      <c r="A297" s="187"/>
      <c r="B297" s="189"/>
      <c r="C297" s="189"/>
      <c r="D297" s="189">
        <f>D225+G297</f>
        <v>10000</v>
      </c>
      <c r="E297" s="182" t="s">
        <v>458</v>
      </c>
      <c r="F297" s="183">
        <v>113100</v>
      </c>
      <c r="G297" s="187">
        <v>0</v>
      </c>
    </row>
    <row r="298" spans="1:7">
      <c r="A298" s="187"/>
      <c r="B298" s="189"/>
      <c r="C298" s="189"/>
      <c r="D298" s="189">
        <f>+G298</f>
        <v>4000</v>
      </c>
      <c r="E298" s="182" t="s">
        <v>463</v>
      </c>
      <c r="F298" s="183">
        <v>610000</v>
      </c>
      <c r="G298" s="187">
        <v>4000</v>
      </c>
    </row>
    <row r="299" spans="1:7">
      <c r="A299" s="187"/>
      <c r="B299" s="189"/>
      <c r="C299" s="189"/>
      <c r="D299" s="189">
        <f>D226+G299</f>
        <v>3.51</v>
      </c>
      <c r="E299" s="182" t="s">
        <v>215</v>
      </c>
      <c r="F299" s="183">
        <v>216001</v>
      </c>
      <c r="G299" s="187">
        <v>0.51</v>
      </c>
    </row>
    <row r="300" spans="1:7">
      <c r="A300" s="182"/>
      <c r="B300" s="184"/>
      <c r="C300" s="184"/>
      <c r="D300" s="188"/>
      <c r="E300" s="182"/>
      <c r="F300" s="183"/>
      <c r="G300" s="187"/>
    </row>
    <row r="301" spans="1:7">
      <c r="A301" s="297">
        <f>SUM(A283:A300)</f>
        <v>33321700</v>
      </c>
      <c r="B301" s="297">
        <f>SUM(B283:B300)</f>
        <v>0</v>
      </c>
      <c r="C301" s="297">
        <f>SUM(C283:C300)</f>
        <v>33321700</v>
      </c>
      <c r="D301" s="191">
        <f>SUM(D283:D300)</f>
        <v>30079757.130000003</v>
      </c>
      <c r="E301" s="364" t="s">
        <v>31</v>
      </c>
      <c r="F301" s="298"/>
      <c r="G301" s="191">
        <f>SUM(G283:G300)</f>
        <v>2892784.56</v>
      </c>
    </row>
    <row r="306" spans="1:7">
      <c r="A306" s="410" t="s">
        <v>111</v>
      </c>
      <c r="B306" s="410"/>
      <c r="C306" s="410"/>
      <c r="D306" s="410"/>
      <c r="E306" s="411" t="s">
        <v>0</v>
      </c>
      <c r="F306" s="411" t="s">
        <v>109</v>
      </c>
      <c r="G306" s="413" t="s">
        <v>375</v>
      </c>
    </row>
    <row r="307" spans="1:7" ht="57" thickBot="1">
      <c r="A307" s="285" t="s">
        <v>372</v>
      </c>
      <c r="B307" s="285" t="s">
        <v>371</v>
      </c>
      <c r="C307" s="285" t="s">
        <v>374</v>
      </c>
      <c r="D307" s="285" t="s">
        <v>373</v>
      </c>
      <c r="E307" s="412"/>
      <c r="F307" s="412"/>
      <c r="G307" s="412"/>
    </row>
    <row r="308" spans="1:7" ht="19.5" thickTop="1">
      <c r="A308" s="310"/>
      <c r="B308" s="187"/>
      <c r="C308" s="187"/>
      <c r="D308" s="187"/>
      <c r="E308" s="181" t="s">
        <v>29</v>
      </c>
      <c r="F308" s="182"/>
      <c r="G308" s="192"/>
    </row>
    <row r="309" spans="1:7" ht="19.5">
      <c r="A309" s="187">
        <v>3708560</v>
      </c>
      <c r="B309" s="187"/>
      <c r="C309" s="187">
        <f>+A309</f>
        <v>3708560</v>
      </c>
      <c r="D309" s="188">
        <f>+G309+D236</f>
        <v>673326.67999999993</v>
      </c>
      <c r="E309" s="288" t="s">
        <v>11</v>
      </c>
      <c r="F309" s="186">
        <v>100000</v>
      </c>
      <c r="G309" s="193">
        <v>21596</v>
      </c>
    </row>
    <row r="310" spans="1:7" ht="19.5">
      <c r="A310" s="187">
        <v>2624640</v>
      </c>
      <c r="B310" s="187"/>
      <c r="C310" s="187">
        <f t="shared" ref="C310:C319" si="34">+A310</f>
        <v>2624640</v>
      </c>
      <c r="D310" s="188">
        <f t="shared" ref="D310:D319" si="35">+G310+D237</f>
        <v>1093600</v>
      </c>
      <c r="E310" s="288" t="s">
        <v>114</v>
      </c>
      <c r="F310" s="186">
        <v>210000</v>
      </c>
      <c r="G310" s="194">
        <v>218720</v>
      </c>
    </row>
    <row r="311" spans="1:7" ht="19.5">
      <c r="A311" s="187">
        <f>4048500+1923300+432000+730300+361400+1376000+589300</f>
        <v>9460800</v>
      </c>
      <c r="B311" s="187"/>
      <c r="C311" s="187">
        <f t="shared" si="34"/>
        <v>9460800</v>
      </c>
      <c r="D311" s="188">
        <f t="shared" si="35"/>
        <v>3609999.25</v>
      </c>
      <c r="E311" s="288" t="s">
        <v>115</v>
      </c>
      <c r="F311" s="186">
        <v>220000</v>
      </c>
      <c r="G311" s="194">
        <v>683117</v>
      </c>
    </row>
    <row r="312" spans="1:7" ht="19.5">
      <c r="A312" s="349">
        <f>316000+115800+28000+30000+36000+10500+123000+28800-20000</f>
        <v>668100</v>
      </c>
      <c r="B312" s="349"/>
      <c r="C312" s="349">
        <f t="shared" si="34"/>
        <v>668100</v>
      </c>
      <c r="D312" s="188">
        <f t="shared" si="35"/>
        <v>137523.25</v>
      </c>
      <c r="E312" s="351" t="s">
        <v>5</v>
      </c>
      <c r="F312" s="352">
        <v>310000</v>
      </c>
      <c r="G312" s="353">
        <v>35970</v>
      </c>
    </row>
    <row r="313" spans="1:7" ht="19.5">
      <c r="A313" s="349">
        <f>+A240+25000-25000</f>
        <v>5112500</v>
      </c>
      <c r="B313" s="349"/>
      <c r="C313" s="349">
        <f t="shared" si="34"/>
        <v>5112500</v>
      </c>
      <c r="D313" s="188">
        <f t="shared" si="35"/>
        <v>1643475.99</v>
      </c>
      <c r="E313" s="351" t="s">
        <v>6</v>
      </c>
      <c r="F313" s="352">
        <v>320000</v>
      </c>
      <c r="G313" s="353">
        <f>685174.55+4800+4800+3900</f>
        <v>698674.55</v>
      </c>
    </row>
    <row r="314" spans="1:7" ht="19.5">
      <c r="A314" s="349">
        <f>550000+105000+2178000+120000+60000+350000+450000+50000+140000+10000+50000</f>
        <v>4063000</v>
      </c>
      <c r="B314" s="349"/>
      <c r="C314" s="349">
        <f t="shared" si="34"/>
        <v>4063000</v>
      </c>
      <c r="D314" s="188">
        <f t="shared" si="35"/>
        <v>536647.99</v>
      </c>
      <c r="E314" s="351" t="s">
        <v>7</v>
      </c>
      <c r="F314" s="352">
        <v>330000</v>
      </c>
      <c r="G314" s="353">
        <v>132358.06</v>
      </c>
    </row>
    <row r="315" spans="1:7" ht="19.5">
      <c r="A315" s="349">
        <f>450000+450000</f>
        <v>900000</v>
      </c>
      <c r="B315" s="349"/>
      <c r="C315" s="349">
        <f t="shared" si="34"/>
        <v>900000</v>
      </c>
      <c r="D315" s="188">
        <f t="shared" si="35"/>
        <v>406238.93</v>
      </c>
      <c r="E315" s="351" t="s">
        <v>8</v>
      </c>
      <c r="F315" s="352">
        <v>340000</v>
      </c>
      <c r="G315" s="353">
        <v>151672.18</v>
      </c>
    </row>
    <row r="316" spans="1:7" ht="19.5">
      <c r="A316" s="349">
        <f>50000+36000+113000+91600+71000+70500+9900+26000-15900</f>
        <v>452100</v>
      </c>
      <c r="B316" s="349"/>
      <c r="C316" s="349">
        <f t="shared" si="34"/>
        <v>452100</v>
      </c>
      <c r="D316" s="188">
        <f t="shared" si="35"/>
        <v>124970</v>
      </c>
      <c r="E316" s="351" t="s">
        <v>9</v>
      </c>
      <c r="F316" s="352">
        <v>410000</v>
      </c>
      <c r="G316" s="353">
        <v>110000</v>
      </c>
    </row>
    <row r="317" spans="1:7" ht="19.5">
      <c r="A317" s="187">
        <f>398000+15000+1726000</f>
        <v>2139000</v>
      </c>
      <c r="B317" s="187"/>
      <c r="C317" s="187">
        <f t="shared" si="34"/>
        <v>2139000</v>
      </c>
      <c r="D317" s="188">
        <f t="shared" si="35"/>
        <v>15000</v>
      </c>
      <c r="E317" s="288" t="s">
        <v>10</v>
      </c>
      <c r="F317" s="186">
        <v>420000</v>
      </c>
      <c r="G317" s="194">
        <v>0</v>
      </c>
    </row>
    <row r="318" spans="1:7" ht="19.5">
      <c r="A318" s="187">
        <f>25000-20000</f>
        <v>5000</v>
      </c>
      <c r="B318" s="187"/>
      <c r="C318" s="187">
        <f t="shared" si="34"/>
        <v>5000</v>
      </c>
      <c r="D318" s="188">
        <f t="shared" si="35"/>
        <v>0</v>
      </c>
      <c r="E318" s="288" t="s">
        <v>377</v>
      </c>
      <c r="F318" s="183">
        <v>510000</v>
      </c>
      <c r="G318" s="194">
        <v>0</v>
      </c>
    </row>
    <row r="319" spans="1:7">
      <c r="A319" s="187">
        <f>20000+3792000+240000+10000+126000</f>
        <v>4188000</v>
      </c>
      <c r="B319" s="187"/>
      <c r="C319" s="187">
        <f t="shared" si="34"/>
        <v>4188000</v>
      </c>
      <c r="D319" s="188">
        <f t="shared" si="35"/>
        <v>1988000</v>
      </c>
      <c r="E319" s="288" t="s">
        <v>13</v>
      </c>
      <c r="F319" s="186">
        <v>610000</v>
      </c>
      <c r="G319" s="187">
        <v>51000</v>
      </c>
    </row>
    <row r="320" spans="1:7">
      <c r="A320" s="190">
        <f>SUM(A309:A319)</f>
        <v>33321700</v>
      </c>
      <c r="B320" s="190">
        <f t="shared" ref="B320" si="36">SUM(B309:B319)</f>
        <v>0</v>
      </c>
      <c r="C320" s="190">
        <f>SUM(C309:C319)</f>
        <v>33321700</v>
      </c>
      <c r="D320" s="190">
        <f>SUM(D309:D319)</f>
        <v>10228782.09</v>
      </c>
      <c r="E320" s="300" t="s">
        <v>17</v>
      </c>
      <c r="F320" s="299"/>
      <c r="G320" s="190">
        <f>SUM(G309:G319)</f>
        <v>2103107.79</v>
      </c>
    </row>
    <row r="321" spans="1:7">
      <c r="A321" s="190"/>
      <c r="B321" s="187">
        <f>+G321+B248</f>
        <v>5511400.3300000001</v>
      </c>
      <c r="C321" s="190"/>
      <c r="D321" s="187">
        <f>D248+G321</f>
        <v>5511400.3300000001</v>
      </c>
      <c r="E321" s="289" t="str">
        <f>+E282</f>
        <v>เงินอุดหนุนทั่วไปกำหนดวัตถุประสงค์/เฉพาะกิจ</v>
      </c>
      <c r="F321" s="186">
        <v>441000</v>
      </c>
      <c r="G321" s="187">
        <f>118800+41600+1640+97470+32800+35000+694800+102400</f>
        <v>1124510</v>
      </c>
    </row>
    <row r="322" spans="1:7">
      <c r="A322" s="187"/>
      <c r="B322" s="187"/>
      <c r="C322" s="187"/>
      <c r="D322" s="187">
        <f>D249+G322</f>
        <v>1876321</v>
      </c>
      <c r="E322" s="289" t="s">
        <v>15</v>
      </c>
      <c r="F322" s="183">
        <v>310000</v>
      </c>
      <c r="G322" s="187">
        <v>1249500</v>
      </c>
    </row>
    <row r="323" spans="1:7">
      <c r="A323" s="187"/>
      <c r="B323" s="189"/>
      <c r="C323" s="189"/>
      <c r="D323" s="187">
        <f>D250+G323</f>
        <v>0</v>
      </c>
      <c r="E323" s="288" t="s">
        <v>350</v>
      </c>
      <c r="F323" s="186">
        <v>320000</v>
      </c>
      <c r="G323" s="187">
        <v>0</v>
      </c>
    </row>
    <row r="324" spans="1:7">
      <c r="A324" s="187"/>
      <c r="B324" s="189"/>
      <c r="C324" s="189"/>
      <c r="D324" s="187">
        <f>D251+G324</f>
        <v>433845.1</v>
      </c>
      <c r="E324" s="288" t="s">
        <v>337</v>
      </c>
      <c r="F324" s="186">
        <v>112002</v>
      </c>
      <c r="G324" s="187">
        <v>0</v>
      </c>
    </row>
    <row r="325" spans="1:7">
      <c r="A325" s="187"/>
      <c r="B325" s="189"/>
      <c r="C325" s="189"/>
      <c r="D325" s="187">
        <f>+G325</f>
        <v>72403.61</v>
      </c>
      <c r="E325" s="288" t="s">
        <v>319</v>
      </c>
      <c r="F325" s="186">
        <v>110610</v>
      </c>
      <c r="G325" s="187">
        <f>56403.61+8500+7500</f>
        <v>72403.61</v>
      </c>
    </row>
    <row r="326" spans="1:7">
      <c r="A326" s="187"/>
      <c r="B326" s="189"/>
      <c r="C326" s="189"/>
      <c r="D326" s="187">
        <f>D252+G326</f>
        <v>2585286</v>
      </c>
      <c r="E326" s="288" t="s">
        <v>335</v>
      </c>
      <c r="F326" s="186">
        <v>113100</v>
      </c>
      <c r="G326" s="187">
        <v>820900</v>
      </c>
    </row>
    <row r="327" spans="1:7">
      <c r="A327" s="187"/>
      <c r="B327" s="189"/>
      <c r="C327" s="189"/>
      <c r="D327" s="187">
        <f t="shared" ref="D327:D334" si="37">D253+G327</f>
        <v>2061180</v>
      </c>
      <c r="E327" s="288" t="s">
        <v>110</v>
      </c>
      <c r="F327" s="186">
        <v>113700</v>
      </c>
      <c r="G327" s="187">
        <v>0</v>
      </c>
    </row>
    <row r="328" spans="1:7">
      <c r="A328" s="187"/>
      <c r="B328" s="189"/>
      <c r="C328" s="189"/>
      <c r="D328" s="187">
        <f t="shared" si="37"/>
        <v>32340</v>
      </c>
      <c r="E328" s="288" t="s">
        <v>336</v>
      </c>
      <c r="F328" s="186">
        <v>113200</v>
      </c>
      <c r="G328" s="187">
        <v>0</v>
      </c>
    </row>
    <row r="329" spans="1:7">
      <c r="A329" s="187"/>
      <c r="B329" s="189"/>
      <c r="C329" s="189"/>
      <c r="D329" s="187">
        <f t="shared" si="37"/>
        <v>4199983</v>
      </c>
      <c r="E329" s="288" t="s">
        <v>348</v>
      </c>
      <c r="F329" s="186">
        <v>211000</v>
      </c>
      <c r="G329" s="187">
        <v>98000</v>
      </c>
    </row>
    <row r="330" spans="1:7">
      <c r="A330" s="187"/>
      <c r="B330" s="189"/>
      <c r="C330" s="189"/>
      <c r="D330" s="187">
        <f t="shared" si="37"/>
        <v>55577.530000000006</v>
      </c>
      <c r="E330" s="288" t="s">
        <v>460</v>
      </c>
      <c r="F330" s="186">
        <v>215001</v>
      </c>
      <c r="G330" s="187">
        <v>6415.87</v>
      </c>
    </row>
    <row r="331" spans="1:7">
      <c r="A331" s="187"/>
      <c r="B331" s="189"/>
      <c r="C331" s="189"/>
      <c r="D331" s="187">
        <f t="shared" si="37"/>
        <v>133221</v>
      </c>
      <c r="E331" s="288" t="s">
        <v>379</v>
      </c>
      <c r="F331" s="186">
        <v>215008</v>
      </c>
      <c r="G331" s="187">
        <v>9978</v>
      </c>
    </row>
    <row r="332" spans="1:7">
      <c r="A332" s="187"/>
      <c r="B332" s="189"/>
      <c r="C332" s="189"/>
      <c r="D332" s="187">
        <f t="shared" si="37"/>
        <v>221552</v>
      </c>
      <c r="E332" s="288" t="s">
        <v>382</v>
      </c>
      <c r="F332" s="186">
        <v>215014</v>
      </c>
      <c r="G332" s="187">
        <v>0</v>
      </c>
    </row>
    <row r="333" spans="1:7">
      <c r="A333" s="187"/>
      <c r="B333" s="189"/>
      <c r="C333" s="189"/>
      <c r="D333" s="187">
        <f t="shared" si="37"/>
        <v>7666</v>
      </c>
      <c r="E333" s="288" t="s">
        <v>416</v>
      </c>
      <c r="F333" s="186">
        <v>215999</v>
      </c>
      <c r="G333" s="187">
        <v>582</v>
      </c>
    </row>
    <row r="334" spans="1:7">
      <c r="A334" s="187"/>
      <c r="B334" s="189"/>
      <c r="C334" s="189"/>
      <c r="D334" s="187">
        <f t="shared" si="37"/>
        <v>31288.5</v>
      </c>
      <c r="E334" s="288" t="s">
        <v>462</v>
      </c>
      <c r="F334" s="186">
        <v>215999</v>
      </c>
      <c r="G334" s="187">
        <v>31285.5</v>
      </c>
    </row>
    <row r="335" spans="1:7">
      <c r="A335" s="198"/>
      <c r="B335" s="198"/>
      <c r="C335" s="198"/>
      <c r="D335" s="187">
        <f>D260+G335</f>
        <v>3.51</v>
      </c>
      <c r="E335" s="294" t="s">
        <v>215</v>
      </c>
      <c r="F335" s="295">
        <v>216001</v>
      </c>
      <c r="G335" s="198">
        <v>0.51</v>
      </c>
    </row>
    <row r="336" spans="1:7">
      <c r="A336" s="191">
        <f>SUM(A320:A335)</f>
        <v>33321700</v>
      </c>
      <c r="B336" s="191">
        <f>SUM(B320:B335)</f>
        <v>5511400.3300000001</v>
      </c>
      <c r="C336" s="191">
        <f>SUM(C320:C335)</f>
        <v>33321700</v>
      </c>
      <c r="D336" s="191">
        <f>SUM(D320:D335)</f>
        <v>27450849.670000006</v>
      </c>
      <c r="E336" s="296" t="s">
        <v>30</v>
      </c>
      <c r="F336" s="301"/>
      <c r="G336" s="191">
        <f>SUM(G320:G335)</f>
        <v>5516683.2800000003</v>
      </c>
    </row>
    <row r="337" spans="4:8">
      <c r="D337" s="182"/>
      <c r="E337" s="365" t="s">
        <v>116</v>
      </c>
      <c r="F337" s="184"/>
      <c r="G337" s="182"/>
    </row>
    <row r="338" spans="4:8">
      <c r="D338" s="195"/>
      <c r="E338" s="365" t="s">
        <v>119</v>
      </c>
      <c r="F338" s="184"/>
      <c r="G338" s="195"/>
    </row>
    <row r="339" spans="4:8">
      <c r="D339" s="195">
        <f>SUM(D301-D336)</f>
        <v>2628907.4599999972</v>
      </c>
      <c r="E339" s="365" t="s">
        <v>117</v>
      </c>
      <c r="G339" s="195">
        <f>SUM(G301-G336)</f>
        <v>-2623898.7200000002</v>
      </c>
    </row>
    <row r="340" spans="4:8" ht="19.5" thickBot="1">
      <c r="D340" s="196">
        <f>SUM(D272+D301-D336)</f>
        <v>33249820.799999993</v>
      </c>
      <c r="E340" s="365" t="s">
        <v>118</v>
      </c>
      <c r="G340" s="196">
        <f>SUM(G272+G301-G336)</f>
        <v>33249823.799999997</v>
      </c>
      <c r="H340" s="6">
        <f>+งบดุลบัญชี!AI5</f>
        <v>33244391.800000008</v>
      </c>
    </row>
    <row r="341" spans="4:8" ht="19.5" thickTop="1">
      <c r="H341" s="6">
        <f>+งบดุลบัญชี!AI4</f>
        <v>5432</v>
      </c>
    </row>
    <row r="342" spans="4:8">
      <c r="H342" s="6">
        <f>SUM(H340:H341)</f>
        <v>33249823.800000008</v>
      </c>
    </row>
    <row r="343" spans="4:8">
      <c r="H343" s="6">
        <f>+H342-G340</f>
        <v>0</v>
      </c>
    </row>
  </sheetData>
  <mergeCells count="55">
    <mergeCell ref="A306:D306"/>
    <mergeCell ref="E306:E307"/>
    <mergeCell ref="F306:F307"/>
    <mergeCell ref="G306:G307"/>
    <mergeCell ref="A266:G266"/>
    <mergeCell ref="A267:G267"/>
    <mergeCell ref="A268:G268"/>
    <mergeCell ref="A270:D270"/>
    <mergeCell ref="E270:E271"/>
    <mergeCell ref="F270:F271"/>
    <mergeCell ref="G270:G271"/>
    <mergeCell ref="A233:D233"/>
    <mergeCell ref="E233:E234"/>
    <mergeCell ref="F233:F234"/>
    <mergeCell ref="G233:G234"/>
    <mergeCell ref="A195:G195"/>
    <mergeCell ref="A196:G196"/>
    <mergeCell ref="A197:G197"/>
    <mergeCell ref="A199:D199"/>
    <mergeCell ref="E199:E200"/>
    <mergeCell ref="F199:F200"/>
    <mergeCell ref="G199:G200"/>
    <mergeCell ref="A68:D68"/>
    <mergeCell ref="E68:E69"/>
    <mergeCell ref="F68:F69"/>
    <mergeCell ref="G68:G69"/>
    <mergeCell ref="A96:D96"/>
    <mergeCell ref="E96:E97"/>
    <mergeCell ref="F96:F97"/>
    <mergeCell ref="G96:G97"/>
    <mergeCell ref="A1:G1"/>
    <mergeCell ref="A3:G3"/>
    <mergeCell ref="E5:E6"/>
    <mergeCell ref="F5:F6"/>
    <mergeCell ref="G5:G6"/>
    <mergeCell ref="A2:G2"/>
    <mergeCell ref="A5:D5"/>
    <mergeCell ref="A65:G65"/>
    <mergeCell ref="A66:G66"/>
    <mergeCell ref="A32:D32"/>
    <mergeCell ref="E32:E33"/>
    <mergeCell ref="F32:F33"/>
    <mergeCell ref="G32:G33"/>
    <mergeCell ref="A64:G64"/>
    <mergeCell ref="A162:D162"/>
    <mergeCell ref="E162:E163"/>
    <mergeCell ref="F162:F163"/>
    <mergeCell ref="G162:G163"/>
    <mergeCell ref="A128:G128"/>
    <mergeCell ref="A129:G129"/>
    <mergeCell ref="A130:G130"/>
    <mergeCell ref="A132:D132"/>
    <mergeCell ref="E132:E133"/>
    <mergeCell ref="F132:F133"/>
    <mergeCell ref="G132:G133"/>
  </mergeCells>
  <pageMargins left="0.74803149606299213" right="0.31496062992125984" top="0.74803149606299213" bottom="0.23622047244094491" header="0.43307086614173229" footer="0.23622047244094491"/>
  <pageSetup paperSize="9" scale="80" orientation="portrait" r:id="rId1"/>
  <headerFooter alignWithMargins="0"/>
  <rowBreaks count="9" manualBreakCount="9">
    <brk id="31" max="6" man="1"/>
    <brk id="63" max="6" man="1"/>
    <brk id="94" max="6" man="1"/>
    <brk id="127" max="6" man="1"/>
    <brk id="161" max="6" man="1"/>
    <brk id="194" max="6" man="1"/>
    <brk id="232" max="6" man="1"/>
    <brk id="265" max="6" man="1"/>
    <brk id="305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rgb="FFC00000"/>
  </sheetPr>
  <dimension ref="A1:Y44"/>
  <sheetViews>
    <sheetView view="pageBreakPreview" topLeftCell="T1" zoomScale="110" zoomScaleSheetLayoutView="110" workbookViewId="0">
      <selection activeCell="X37" sqref="X37"/>
    </sheetView>
  </sheetViews>
  <sheetFormatPr defaultRowHeight="18.75"/>
  <cols>
    <col min="1" max="1" width="29.7109375" style="5" customWidth="1"/>
    <col min="2" max="2" width="20.28515625" style="5" customWidth="1"/>
    <col min="3" max="3" width="12.7109375" style="5" customWidth="1"/>
    <col min="4" max="4" width="15.7109375" style="5" customWidth="1"/>
    <col min="5" max="5" width="15.85546875" style="6" customWidth="1"/>
    <col min="6" max="6" width="9.140625" style="5"/>
    <col min="7" max="7" width="40.140625" style="5" customWidth="1"/>
    <col min="8" max="8" width="13.140625" style="5" customWidth="1"/>
    <col min="9" max="10" width="14.7109375" style="5" customWidth="1"/>
    <col min="11" max="11" width="9.140625" style="5"/>
    <col min="12" max="12" width="38.85546875" style="5" customWidth="1"/>
    <col min="13" max="13" width="14.140625" style="5" customWidth="1"/>
    <col min="14" max="15" width="13.85546875" style="5" customWidth="1"/>
    <col min="16" max="16" width="9.140625" style="5"/>
    <col min="17" max="17" width="31.85546875" style="5" customWidth="1"/>
    <col min="18" max="18" width="13.28515625" style="5" customWidth="1"/>
    <col min="19" max="19" width="14.28515625" style="5" customWidth="1"/>
    <col min="20" max="20" width="14.140625" style="5" customWidth="1"/>
    <col min="21" max="21" width="9.140625" style="5"/>
    <col min="22" max="22" width="37.5703125" style="5" customWidth="1"/>
    <col min="23" max="23" width="13.42578125" style="5" customWidth="1"/>
    <col min="24" max="24" width="14.85546875" style="5" customWidth="1"/>
    <col min="25" max="25" width="14.5703125" style="5" customWidth="1"/>
    <col min="26" max="16384" width="9.140625" style="5"/>
  </cols>
  <sheetData>
    <row r="1" spans="1:25">
      <c r="A1" s="415" t="s">
        <v>28</v>
      </c>
      <c r="B1" s="415"/>
      <c r="C1" s="415"/>
      <c r="D1" s="415"/>
      <c r="E1" s="415"/>
      <c r="F1" s="415" t="s">
        <v>28</v>
      </c>
      <c r="G1" s="415"/>
      <c r="H1" s="415"/>
      <c r="I1" s="415"/>
      <c r="J1" s="415"/>
      <c r="K1" s="415" t="s">
        <v>28</v>
      </c>
      <c r="L1" s="415"/>
      <c r="M1" s="415"/>
      <c r="N1" s="415"/>
      <c r="O1" s="415"/>
      <c r="P1" s="415" t="s">
        <v>28</v>
      </c>
      <c r="Q1" s="415"/>
      <c r="R1" s="415"/>
      <c r="S1" s="415"/>
      <c r="T1" s="415"/>
      <c r="U1" s="415" t="s">
        <v>28</v>
      </c>
      <c r="V1" s="415"/>
      <c r="W1" s="415"/>
      <c r="X1" s="415"/>
      <c r="Y1" s="415"/>
    </row>
    <row r="2" spans="1:25">
      <c r="A2" s="415" t="s">
        <v>103</v>
      </c>
      <c r="B2" s="415"/>
      <c r="C2" s="415"/>
      <c r="D2" s="415"/>
      <c r="E2" s="415"/>
      <c r="F2" s="415" t="s">
        <v>103</v>
      </c>
      <c r="G2" s="415"/>
      <c r="H2" s="415"/>
      <c r="I2" s="415"/>
      <c r="J2" s="415"/>
      <c r="K2" s="415" t="s">
        <v>103</v>
      </c>
      <c r="L2" s="415"/>
      <c r="M2" s="415"/>
      <c r="N2" s="415"/>
      <c r="O2" s="415"/>
      <c r="P2" s="415" t="s">
        <v>103</v>
      </c>
      <c r="Q2" s="415"/>
      <c r="R2" s="415"/>
      <c r="S2" s="415"/>
      <c r="T2" s="415"/>
      <c r="U2" s="415" t="s">
        <v>103</v>
      </c>
      <c r="V2" s="415"/>
      <c r="W2" s="415"/>
      <c r="X2" s="415"/>
      <c r="Y2" s="415"/>
    </row>
    <row r="3" spans="1:25">
      <c r="A3" s="419" t="s">
        <v>346</v>
      </c>
      <c r="B3" s="419"/>
      <c r="C3" s="419"/>
      <c r="D3" s="419"/>
      <c r="E3" s="419"/>
      <c r="F3" s="419" t="s">
        <v>417</v>
      </c>
      <c r="G3" s="419"/>
      <c r="H3" s="419"/>
      <c r="I3" s="419"/>
      <c r="J3" s="419"/>
      <c r="K3" s="419" t="s">
        <v>427</v>
      </c>
      <c r="L3" s="419"/>
      <c r="M3" s="419"/>
      <c r="N3" s="419"/>
      <c r="O3" s="419"/>
      <c r="P3" s="419" t="s">
        <v>450</v>
      </c>
      <c r="Q3" s="419"/>
      <c r="R3" s="419"/>
      <c r="S3" s="419"/>
      <c r="T3" s="419"/>
      <c r="U3" s="419" t="s">
        <v>464</v>
      </c>
      <c r="V3" s="419"/>
      <c r="W3" s="419"/>
      <c r="X3" s="419"/>
      <c r="Y3" s="419"/>
    </row>
    <row r="4" spans="1:25">
      <c r="A4" s="417" t="s">
        <v>0</v>
      </c>
      <c r="B4" s="418"/>
      <c r="C4" s="56" t="s">
        <v>109</v>
      </c>
      <c r="D4" s="56" t="s">
        <v>36</v>
      </c>
      <c r="E4" s="7" t="s">
        <v>1</v>
      </c>
      <c r="F4" s="417" t="s">
        <v>0</v>
      </c>
      <c r="G4" s="418"/>
      <c r="H4" s="56" t="s">
        <v>109</v>
      </c>
      <c r="I4" s="56" t="s">
        <v>36</v>
      </c>
      <c r="J4" s="7" t="s">
        <v>1</v>
      </c>
      <c r="K4" s="417" t="s">
        <v>0</v>
      </c>
      <c r="L4" s="418"/>
      <c r="M4" s="56" t="s">
        <v>109</v>
      </c>
      <c r="N4" s="56" t="s">
        <v>36</v>
      </c>
      <c r="O4" s="7" t="s">
        <v>1</v>
      </c>
      <c r="P4" s="417" t="s">
        <v>0</v>
      </c>
      <c r="Q4" s="418"/>
      <c r="R4" s="56" t="s">
        <v>109</v>
      </c>
      <c r="S4" s="56" t="s">
        <v>36</v>
      </c>
      <c r="T4" s="7" t="s">
        <v>1</v>
      </c>
      <c r="U4" s="417" t="s">
        <v>0</v>
      </c>
      <c r="V4" s="418"/>
      <c r="W4" s="56" t="s">
        <v>109</v>
      </c>
      <c r="X4" s="56" t="s">
        <v>36</v>
      </c>
      <c r="Y4" s="7" t="s">
        <v>1</v>
      </c>
    </row>
    <row r="5" spans="1:25">
      <c r="A5" s="16" t="s">
        <v>2</v>
      </c>
      <c r="B5" s="18"/>
      <c r="C5" s="57">
        <v>111100</v>
      </c>
      <c r="D5" s="58">
        <f>SUM(งบดุลบัญชี!K4)</f>
        <v>0</v>
      </c>
      <c r="E5" s="15"/>
      <c r="F5" s="16" t="s">
        <v>2</v>
      </c>
      <c r="G5" s="18"/>
      <c r="H5" s="57">
        <v>111100</v>
      </c>
      <c r="I5" s="58">
        <f>SUM(งบดุลบัญชี!P4)</f>
        <v>0</v>
      </c>
      <c r="J5" s="15"/>
      <c r="K5" s="16" t="s">
        <v>2</v>
      </c>
      <c r="L5" s="18"/>
      <c r="M5" s="57">
        <v>111100</v>
      </c>
      <c r="N5" s="58">
        <f>+งบดุลบัญชี!W4</f>
        <v>0</v>
      </c>
      <c r="O5" s="15"/>
      <c r="P5" s="16" t="s">
        <v>2</v>
      </c>
      <c r="Q5" s="18"/>
      <c r="R5" s="57">
        <v>111100</v>
      </c>
      <c r="S5" s="58">
        <f>+งบดุลบัญชี!AC4</f>
        <v>65.95</v>
      </c>
      <c r="T5" s="15"/>
      <c r="U5" s="16" t="s">
        <v>2</v>
      </c>
      <c r="V5" s="18"/>
      <c r="W5" s="57">
        <v>111100</v>
      </c>
      <c r="X5" s="58">
        <f>+งบดุลบัญชี!AI4</f>
        <v>5432</v>
      </c>
      <c r="Y5" s="15"/>
    </row>
    <row r="6" spans="1:25">
      <c r="A6" s="14" t="s">
        <v>289</v>
      </c>
      <c r="B6" s="17"/>
      <c r="C6" s="59">
        <v>111201</v>
      </c>
      <c r="D6" s="58">
        <v>21992675.789999999</v>
      </c>
      <c r="E6" s="58" t="s">
        <v>46</v>
      </c>
      <c r="F6" s="14" t="s">
        <v>289</v>
      </c>
      <c r="G6" s="17"/>
      <c r="H6" s="59">
        <v>111201</v>
      </c>
      <c r="I6" s="58">
        <f>+งบดุลบัญชี!Q11</f>
        <v>27734300.090000004</v>
      </c>
      <c r="J6" s="58" t="s">
        <v>46</v>
      </c>
      <c r="K6" s="14" t="s">
        <v>289</v>
      </c>
      <c r="L6" s="17"/>
      <c r="M6" s="59">
        <v>111201</v>
      </c>
      <c r="N6" s="58">
        <f>+งบดุลบัญชี!W11</f>
        <v>20945441.680000003</v>
      </c>
      <c r="O6" s="58" t="s">
        <v>46</v>
      </c>
      <c r="P6" s="14" t="s">
        <v>289</v>
      </c>
      <c r="Q6" s="17"/>
      <c r="R6" s="59">
        <v>111201</v>
      </c>
      <c r="S6" s="58">
        <f>+งบดุลบัญชี!AC11</f>
        <v>26529018.400000006</v>
      </c>
      <c r="T6" s="58" t="s">
        <v>46</v>
      </c>
      <c r="U6" s="14" t="s">
        <v>289</v>
      </c>
      <c r="V6" s="17"/>
      <c r="W6" s="59">
        <v>111201</v>
      </c>
      <c r="X6" s="58">
        <f>+งบดุลบัญชี!AI11</f>
        <v>25982544.200000007</v>
      </c>
      <c r="Y6" s="58" t="s">
        <v>46</v>
      </c>
    </row>
    <row r="7" spans="1:25">
      <c r="A7" s="14" t="s">
        <v>290</v>
      </c>
      <c r="B7" s="17"/>
      <c r="C7" s="59">
        <v>111201</v>
      </c>
      <c r="D7" s="15">
        <v>6343782.9100000001</v>
      </c>
      <c r="E7" s="15" t="s">
        <v>47</v>
      </c>
      <c r="F7" s="14" t="s">
        <v>290</v>
      </c>
      <c r="G7" s="17"/>
      <c r="H7" s="59">
        <v>111201</v>
      </c>
      <c r="I7" s="15">
        <f>+งบดุลบัญชี!Q13</f>
        <v>6467881.0300000012</v>
      </c>
      <c r="J7" s="15" t="s">
        <v>47</v>
      </c>
      <c r="K7" s="14" t="s">
        <v>290</v>
      </c>
      <c r="L7" s="17"/>
      <c r="M7" s="59">
        <v>111201</v>
      </c>
      <c r="N7" s="15">
        <f>+งบดุลบัญชี!W13</f>
        <v>11873782.91</v>
      </c>
      <c r="O7" s="15" t="s">
        <v>47</v>
      </c>
      <c r="P7" s="14" t="s">
        <v>290</v>
      </c>
      <c r="Q7" s="17"/>
      <c r="R7" s="59">
        <v>111201</v>
      </c>
      <c r="S7" s="15">
        <f>+งบดุลบัญชี!AC13</f>
        <v>9297881.2300000004</v>
      </c>
      <c r="T7" s="15" t="s">
        <v>47</v>
      </c>
      <c r="U7" s="14" t="s">
        <v>290</v>
      </c>
      <c r="V7" s="17"/>
      <c r="W7" s="59">
        <v>111201</v>
      </c>
      <c r="X7" s="15">
        <f>+งบดุลบัญชี!AI13</f>
        <v>7215090.6600000001</v>
      </c>
      <c r="Y7" s="15" t="s">
        <v>47</v>
      </c>
    </row>
    <row r="8" spans="1:25">
      <c r="A8" s="14" t="s">
        <v>291</v>
      </c>
      <c r="B8" s="17"/>
      <c r="C8" s="59">
        <v>111201</v>
      </c>
      <c r="D8" s="15">
        <v>46756.94</v>
      </c>
      <c r="E8" s="15" t="s">
        <v>47</v>
      </c>
      <c r="F8" s="14" t="s">
        <v>291</v>
      </c>
      <c r="G8" s="17"/>
      <c r="H8" s="59">
        <v>111201</v>
      </c>
      <c r="I8" s="15">
        <f>+งบดุลบัญชี!Q14</f>
        <v>46756.94</v>
      </c>
      <c r="J8" s="15" t="s">
        <v>47</v>
      </c>
      <c r="K8" s="14" t="s">
        <v>291</v>
      </c>
      <c r="L8" s="17"/>
      <c r="M8" s="59">
        <v>111201</v>
      </c>
      <c r="N8" s="15">
        <f>+งบดุลบัญชี!W14</f>
        <v>46756.94</v>
      </c>
      <c r="O8" s="15" t="s">
        <v>47</v>
      </c>
      <c r="P8" s="14" t="s">
        <v>291</v>
      </c>
      <c r="Q8" s="17"/>
      <c r="R8" s="59">
        <v>111201</v>
      </c>
      <c r="S8" s="15">
        <f>+งบดุลบัญชี!AC14</f>
        <v>46756.94</v>
      </c>
      <c r="T8" s="15" t="s">
        <v>47</v>
      </c>
      <c r="U8" s="14" t="s">
        <v>291</v>
      </c>
      <c r="V8" s="17"/>
      <c r="W8" s="59">
        <v>111201</v>
      </c>
      <c r="X8" s="15">
        <f>+งบดุลบัญชี!AI14</f>
        <v>46756.94</v>
      </c>
      <c r="Y8" s="15" t="s">
        <v>47</v>
      </c>
    </row>
    <row r="9" spans="1:25">
      <c r="A9" s="14" t="s">
        <v>254</v>
      </c>
      <c r="B9" s="17"/>
      <c r="C9" s="246">
        <v>112002</v>
      </c>
      <c r="D9" s="58">
        <v>2628811.35</v>
      </c>
      <c r="E9" s="15"/>
      <c r="F9" s="14" t="s">
        <v>254</v>
      </c>
      <c r="G9" s="17"/>
      <c r="H9" s="246">
        <v>112002</v>
      </c>
      <c r="I9" s="58">
        <f>+งบดุลบัญชี!Q17</f>
        <v>2628811.35</v>
      </c>
      <c r="J9" s="15"/>
      <c r="K9" s="14" t="s">
        <v>254</v>
      </c>
      <c r="L9" s="17"/>
      <c r="M9" s="246">
        <v>112002</v>
      </c>
      <c r="N9" s="58">
        <f>+งบดุลบัญชี!W17</f>
        <v>3062656.45</v>
      </c>
      <c r="O9" s="15"/>
      <c r="P9" s="14" t="s">
        <v>254</v>
      </c>
      <c r="Q9" s="17"/>
      <c r="R9" s="246">
        <v>112002</v>
      </c>
      <c r="S9" s="58">
        <f>+งบดุลบัญชี!AC17</f>
        <v>3062656.45</v>
      </c>
      <c r="T9" s="15"/>
      <c r="U9" s="14" t="s">
        <v>254</v>
      </c>
      <c r="V9" s="17"/>
      <c r="W9" s="246">
        <v>112002</v>
      </c>
      <c r="X9" s="58">
        <f>+งบดุลบัญชี!AI17</f>
        <v>3062656.45</v>
      </c>
      <c r="Y9" s="15"/>
    </row>
    <row r="10" spans="1:25">
      <c r="A10" s="14" t="s">
        <v>335</v>
      </c>
      <c r="B10" s="17"/>
      <c r="C10" s="59">
        <v>113100</v>
      </c>
      <c r="D10" s="58">
        <v>9800</v>
      </c>
      <c r="E10" s="15" t="s">
        <v>46</v>
      </c>
      <c r="F10" s="14" t="s">
        <v>335</v>
      </c>
      <c r="G10" s="17"/>
      <c r="H10" s="59">
        <v>113100</v>
      </c>
      <c r="I10" s="58">
        <f>+งบดุลบัญชี!Q18</f>
        <v>6300</v>
      </c>
      <c r="J10" s="15" t="s">
        <v>46</v>
      </c>
      <c r="K10" s="14" t="s">
        <v>335</v>
      </c>
      <c r="L10" s="17"/>
      <c r="M10" s="59">
        <v>113100</v>
      </c>
      <c r="N10" s="58">
        <f>+งบดุลบัญชี!W18</f>
        <v>0</v>
      </c>
      <c r="O10" s="15" t="s">
        <v>46</v>
      </c>
      <c r="P10" s="14" t="s">
        <v>335</v>
      </c>
      <c r="Q10" s="17"/>
      <c r="R10" s="59">
        <v>113100</v>
      </c>
      <c r="S10" s="58">
        <f>+งบดุลบัญชี!AC18</f>
        <v>105400</v>
      </c>
      <c r="T10" s="15" t="s">
        <v>46</v>
      </c>
      <c r="U10" s="14" t="s">
        <v>335</v>
      </c>
      <c r="V10" s="17"/>
      <c r="W10" s="59">
        <v>113100</v>
      </c>
      <c r="X10" s="58">
        <f>+งบดุลบัญชี!AI18</f>
        <v>80600</v>
      </c>
      <c r="Y10" s="15" t="s">
        <v>46</v>
      </c>
    </row>
    <row r="11" spans="1:25">
      <c r="A11" s="14" t="s">
        <v>336</v>
      </c>
      <c r="B11" s="17"/>
      <c r="C11" s="59">
        <v>113200</v>
      </c>
      <c r="D11" s="58">
        <v>0</v>
      </c>
      <c r="E11" s="15"/>
      <c r="F11" s="14" t="s">
        <v>336</v>
      </c>
      <c r="G11" s="17"/>
      <c r="H11" s="59">
        <v>113200</v>
      </c>
      <c r="I11" s="58">
        <f>+งบดุลบัญชี!Q19</f>
        <v>0</v>
      </c>
      <c r="J11" s="15"/>
      <c r="K11" s="14" t="s">
        <v>336</v>
      </c>
      <c r="L11" s="17"/>
      <c r="M11" s="59">
        <v>113200</v>
      </c>
      <c r="N11" s="58">
        <f>+งบดุลบัญชี!W19</f>
        <v>0</v>
      </c>
      <c r="O11" s="15"/>
      <c r="P11" s="14" t="s">
        <v>336</v>
      </c>
      <c r="Q11" s="17"/>
      <c r="R11" s="59">
        <v>113200</v>
      </c>
      <c r="S11" s="58">
        <f>+งบดุลบัญชี!AC19</f>
        <v>0</v>
      </c>
      <c r="T11" s="15"/>
      <c r="U11" s="14" t="s">
        <v>336</v>
      </c>
      <c r="V11" s="17"/>
      <c r="W11" s="59">
        <v>113200</v>
      </c>
      <c r="X11" s="58">
        <f>+งบดุลบัญชี!AI19</f>
        <v>0</v>
      </c>
      <c r="Y11" s="15"/>
    </row>
    <row r="12" spans="1:25">
      <c r="A12" s="14" t="s">
        <v>48</v>
      </c>
      <c r="B12" s="17"/>
      <c r="C12" s="59">
        <v>113302</v>
      </c>
      <c r="D12" s="58">
        <v>11053.24</v>
      </c>
      <c r="E12" s="15"/>
      <c r="F12" s="14" t="s">
        <v>48</v>
      </c>
      <c r="G12" s="17"/>
      <c r="H12" s="59">
        <v>113302</v>
      </c>
      <c r="I12" s="58">
        <f>+งบดุลบัญชี!Q20</f>
        <v>11053.24</v>
      </c>
      <c r="J12" s="15"/>
      <c r="K12" s="14" t="s">
        <v>48</v>
      </c>
      <c r="L12" s="17"/>
      <c r="M12" s="59">
        <v>113302</v>
      </c>
      <c r="N12" s="58">
        <f>+งบดุลบัญชี!W20</f>
        <v>11053.24</v>
      </c>
      <c r="O12" s="15"/>
      <c r="P12" s="14" t="s">
        <v>48</v>
      </c>
      <c r="Q12" s="17"/>
      <c r="R12" s="59">
        <v>113302</v>
      </c>
      <c r="S12" s="58">
        <f>+งบดุลบัญชี!AC20</f>
        <v>10814.27</v>
      </c>
      <c r="T12" s="15"/>
      <c r="U12" s="14" t="s">
        <v>48</v>
      </c>
      <c r="V12" s="17"/>
      <c r="W12" s="59">
        <v>113302</v>
      </c>
      <c r="X12" s="58">
        <f>+งบดุลบัญชี!AI20</f>
        <v>8786.5300000000007</v>
      </c>
      <c r="Y12" s="15"/>
    </row>
    <row r="13" spans="1:25">
      <c r="A13" s="14" t="s">
        <v>325</v>
      </c>
      <c r="B13" s="17"/>
      <c r="C13" s="59">
        <v>113400</v>
      </c>
      <c r="D13" s="58">
        <v>191626.86</v>
      </c>
      <c r="E13" s="15"/>
      <c r="F13" s="14" t="s">
        <v>325</v>
      </c>
      <c r="G13" s="17"/>
      <c r="H13" s="59">
        <v>113400</v>
      </c>
      <c r="I13" s="58">
        <f>+งบดุลบัญชี!Q21</f>
        <v>191626.86</v>
      </c>
      <c r="J13" s="15"/>
      <c r="K13" s="14" t="s">
        <v>325</v>
      </c>
      <c r="L13" s="17"/>
      <c r="M13" s="59">
        <v>113400</v>
      </c>
      <c r="N13" s="58">
        <f>+งบดุลบัญชี!W21</f>
        <v>191626.86</v>
      </c>
      <c r="O13" s="15"/>
      <c r="P13" s="14" t="s">
        <v>325</v>
      </c>
      <c r="Q13" s="17"/>
      <c r="R13" s="59">
        <v>113400</v>
      </c>
      <c r="S13" s="58">
        <f>+งบดุลบัญชี!AC21</f>
        <v>191626.86</v>
      </c>
      <c r="T13" s="15"/>
      <c r="U13" s="14" t="s">
        <v>325</v>
      </c>
      <c r="V13" s="17"/>
      <c r="W13" s="59">
        <v>113400</v>
      </c>
      <c r="X13" s="58">
        <f>+งบดุลบัญชี!AI21</f>
        <v>191626.86</v>
      </c>
      <c r="Y13" s="15"/>
    </row>
    <row r="14" spans="1:25">
      <c r="A14" s="14" t="s">
        <v>319</v>
      </c>
      <c r="B14" s="17"/>
      <c r="C14" s="59">
        <v>113500</v>
      </c>
      <c r="D14" s="58">
        <v>231294.61</v>
      </c>
      <c r="E14" s="15"/>
      <c r="F14" s="14" t="s">
        <v>319</v>
      </c>
      <c r="G14" s="17"/>
      <c r="H14" s="59">
        <v>113500</v>
      </c>
      <c r="I14" s="58">
        <f>+งบดุลบัญชี!Q22</f>
        <v>231294.61</v>
      </c>
      <c r="J14" s="15"/>
      <c r="K14" s="14" t="s">
        <v>319</v>
      </c>
      <c r="L14" s="17"/>
      <c r="M14" s="59">
        <v>113500</v>
      </c>
      <c r="N14" s="58">
        <f>+งบดุลบัญชี!W22</f>
        <v>231294.61</v>
      </c>
      <c r="O14" s="15"/>
      <c r="P14" s="14" t="s">
        <v>319</v>
      </c>
      <c r="Q14" s="17"/>
      <c r="R14" s="59">
        <v>113500</v>
      </c>
      <c r="S14" s="58">
        <f>+งบดุลบัญชี!AC22</f>
        <v>231294.61</v>
      </c>
      <c r="T14" s="15"/>
      <c r="U14" s="14" t="s">
        <v>319</v>
      </c>
      <c r="V14" s="17"/>
      <c r="W14" s="59">
        <v>113500</v>
      </c>
      <c r="X14" s="58">
        <f>+งบดุลบัญชี!AI22</f>
        <v>158891</v>
      </c>
      <c r="Y14" s="15"/>
    </row>
    <row r="15" spans="1:25">
      <c r="A15" s="14" t="s">
        <v>110</v>
      </c>
      <c r="B15" s="17"/>
      <c r="C15" s="59">
        <v>113700</v>
      </c>
      <c r="D15" s="58">
        <v>1088380</v>
      </c>
      <c r="E15" s="15"/>
      <c r="F15" s="14" t="s">
        <v>110</v>
      </c>
      <c r="G15" s="17"/>
      <c r="H15" s="59">
        <v>113700</v>
      </c>
      <c r="I15" s="58">
        <f>+งบดุลบัญชี!Q23</f>
        <v>0</v>
      </c>
      <c r="J15" s="15"/>
      <c r="K15" s="14" t="s">
        <v>110</v>
      </c>
      <c r="L15" s="17"/>
      <c r="M15" s="59">
        <v>113700</v>
      </c>
      <c r="N15" s="58">
        <f>+งบดุลบัญชี!W23</f>
        <v>0</v>
      </c>
      <c r="O15" s="15"/>
      <c r="P15" s="14" t="s">
        <v>110</v>
      </c>
      <c r="Q15" s="17"/>
      <c r="R15" s="59">
        <v>113700</v>
      </c>
      <c r="S15" s="58">
        <f>+งบดุลบัญชี!AC23</f>
        <v>0</v>
      </c>
      <c r="T15" s="15"/>
      <c r="U15" s="14" t="s">
        <v>110</v>
      </c>
      <c r="V15" s="17"/>
      <c r="W15" s="59">
        <v>113700</v>
      </c>
      <c r="X15" s="58">
        <f>+งบดุลบัญชี!AI23</f>
        <v>0</v>
      </c>
      <c r="Y15" s="15"/>
    </row>
    <row r="16" spans="1:25">
      <c r="A16" s="14" t="s">
        <v>323</v>
      </c>
      <c r="B16" s="17"/>
      <c r="C16" s="59">
        <v>121000</v>
      </c>
      <c r="D16" s="58">
        <v>21339050.350000001</v>
      </c>
      <c r="E16" s="15"/>
      <c r="F16" s="14" t="s">
        <v>323</v>
      </c>
      <c r="G16" s="17"/>
      <c r="H16" s="59">
        <v>121000</v>
      </c>
      <c r="I16" s="58">
        <f>+งบดุลบัญชี!Q24</f>
        <v>21339050.350000001</v>
      </c>
      <c r="J16" s="15"/>
      <c r="K16" s="14" t="s">
        <v>323</v>
      </c>
      <c r="L16" s="17"/>
      <c r="M16" s="59">
        <v>121000</v>
      </c>
      <c r="N16" s="58">
        <f>+งบดุลบัญชี!W24</f>
        <v>21339050.350000001</v>
      </c>
      <c r="O16" s="15"/>
      <c r="P16" s="14" t="s">
        <v>323</v>
      </c>
      <c r="Q16" s="17"/>
      <c r="R16" s="59">
        <v>121000</v>
      </c>
      <c r="S16" s="58">
        <f>+งบดุลบัญชี!AC24</f>
        <v>21339050.350000001</v>
      </c>
      <c r="T16" s="15"/>
      <c r="U16" s="14" t="s">
        <v>323</v>
      </c>
      <c r="V16" s="17"/>
      <c r="W16" s="59">
        <v>121000</v>
      </c>
      <c r="X16" s="58">
        <f>+งบดุลบัญชี!AI24</f>
        <v>21339050.350000001</v>
      </c>
      <c r="Y16" s="15"/>
    </row>
    <row r="17" spans="1:25">
      <c r="A17" s="14" t="s">
        <v>347</v>
      </c>
      <c r="B17" s="17"/>
      <c r="C17" s="59">
        <v>400000</v>
      </c>
      <c r="D17" s="58"/>
      <c r="E17" s="15">
        <v>1336189.69</v>
      </c>
      <c r="F17" s="14" t="s">
        <v>347</v>
      </c>
      <c r="G17" s="17"/>
      <c r="H17" s="59">
        <v>400000</v>
      </c>
      <c r="I17" s="58"/>
      <c r="J17" s="15">
        <f>+งบดุลบัญชี!R117</f>
        <v>12362970.16</v>
      </c>
      <c r="K17" s="14" t="s">
        <v>347</v>
      </c>
      <c r="L17" s="17"/>
      <c r="M17" s="59">
        <v>400000</v>
      </c>
      <c r="N17" s="58"/>
      <c r="O17" s="15">
        <f>+งบดุลบัญชี!X117</f>
        <v>15837296.26</v>
      </c>
      <c r="P17" s="14" t="s">
        <v>347</v>
      </c>
      <c r="Q17" s="17"/>
      <c r="R17" s="59">
        <v>400000</v>
      </c>
      <c r="S17" s="58"/>
      <c r="T17" s="15">
        <f>+งบดุลบัญชี!AD117</f>
        <v>23061424.600000001</v>
      </c>
      <c r="U17" s="14" t="s">
        <v>347</v>
      </c>
      <c r="V17" s="17"/>
      <c r="W17" s="59">
        <v>400000</v>
      </c>
      <c r="X17" s="58"/>
      <c r="Y17" s="15">
        <f>+งบดุลบัญชี!AJ117</f>
        <v>24889618.25</v>
      </c>
    </row>
    <row r="18" spans="1:25">
      <c r="A18" s="14" t="s">
        <v>348</v>
      </c>
      <c r="B18" s="17"/>
      <c r="C18" s="59">
        <v>211000</v>
      </c>
      <c r="D18" s="15"/>
      <c r="E18" s="15">
        <v>4331758</v>
      </c>
      <c r="F18" s="14" t="s">
        <v>348</v>
      </c>
      <c r="G18" s="17"/>
      <c r="H18" s="59">
        <v>211000</v>
      </c>
      <c r="I18" s="15"/>
      <c r="J18" s="15">
        <f>+งบดุลบัญชี!R27</f>
        <v>3084315</v>
      </c>
      <c r="K18" s="14" t="s">
        <v>348</v>
      </c>
      <c r="L18" s="17"/>
      <c r="M18" s="59">
        <v>211000</v>
      </c>
      <c r="N18" s="15"/>
      <c r="O18" s="15">
        <f>+งบดุลบัญชี!X27</f>
        <v>1771202</v>
      </c>
      <c r="P18" s="14" t="s">
        <v>348</v>
      </c>
      <c r="Q18" s="17"/>
      <c r="R18" s="59">
        <v>211000</v>
      </c>
      <c r="S18" s="15"/>
      <c r="T18" s="15">
        <f>+งบดุลบัญชี!AD27</f>
        <v>1252779</v>
      </c>
      <c r="U18" s="14" t="s">
        <v>348</v>
      </c>
      <c r="V18" s="17"/>
      <c r="W18" s="59">
        <v>211000</v>
      </c>
      <c r="X18" s="15"/>
      <c r="Y18" s="15">
        <f>+งบดุลบัญชี!AJ27</f>
        <v>1154779</v>
      </c>
    </row>
    <row r="19" spans="1:25">
      <c r="A19" s="14" t="s">
        <v>349</v>
      </c>
      <c r="B19" s="17"/>
      <c r="C19" s="59">
        <v>215000</v>
      </c>
      <c r="D19" s="15"/>
      <c r="E19" s="15">
        <v>1116520.8999999999</v>
      </c>
      <c r="F19" s="14" t="s">
        <v>349</v>
      </c>
      <c r="G19" s="17"/>
      <c r="H19" s="59">
        <v>215000</v>
      </c>
      <c r="I19" s="15"/>
      <c r="J19" s="15">
        <f>+งบดุลบัญชี!R32</f>
        <v>1119370.56</v>
      </c>
      <c r="K19" s="14" t="s">
        <v>349</v>
      </c>
      <c r="L19" s="17"/>
      <c r="M19" s="59">
        <v>215000</v>
      </c>
      <c r="N19" s="15"/>
      <c r="O19" s="15">
        <f>+งบดุลบัญชี!X32</f>
        <v>1156958.7200000002</v>
      </c>
      <c r="P19" s="14" t="s">
        <v>349</v>
      </c>
      <c r="Q19" s="17"/>
      <c r="R19" s="59">
        <v>215000</v>
      </c>
      <c r="S19" s="15"/>
      <c r="T19" s="15">
        <f>+งบดุลบัญชี!AD32</f>
        <v>1222745.7000000002</v>
      </c>
      <c r="U19" s="14" t="s">
        <v>349</v>
      </c>
      <c r="V19" s="17"/>
      <c r="W19" s="59">
        <v>215000</v>
      </c>
      <c r="X19" s="15"/>
      <c r="Y19" s="15">
        <f>+งบดุลบัญชี!AJ32</f>
        <v>1242539.77</v>
      </c>
    </row>
    <row r="20" spans="1:25">
      <c r="A20" s="63" t="s">
        <v>215</v>
      </c>
      <c r="B20" s="64"/>
      <c r="C20" s="59">
        <v>216001</v>
      </c>
      <c r="D20" s="15"/>
      <c r="E20" s="15">
        <v>0</v>
      </c>
      <c r="F20" s="63" t="s">
        <v>215</v>
      </c>
      <c r="G20" s="64"/>
      <c r="H20" s="59">
        <v>216001</v>
      </c>
      <c r="I20" s="15"/>
      <c r="J20" s="15">
        <f>+งบดุลบัญชี!R46</f>
        <v>0</v>
      </c>
      <c r="K20" s="63" t="s">
        <v>215</v>
      </c>
      <c r="L20" s="64"/>
      <c r="M20" s="59">
        <v>216001</v>
      </c>
      <c r="N20" s="15"/>
      <c r="O20" s="15">
        <f>+งบดุลบัญชี!X46</f>
        <v>0</v>
      </c>
      <c r="P20" s="63" t="s">
        <v>215</v>
      </c>
      <c r="Q20" s="64"/>
      <c r="R20" s="59">
        <v>216001</v>
      </c>
      <c r="S20" s="15"/>
      <c r="T20" s="15">
        <f>+งบดุลบัญชี!AD46</f>
        <v>0</v>
      </c>
      <c r="U20" s="63" t="s">
        <v>215</v>
      </c>
      <c r="V20" s="64"/>
      <c r="W20" s="59">
        <v>216001</v>
      </c>
      <c r="X20" s="15"/>
      <c r="Y20" s="15">
        <f>+งบดุลบัญชี!AJ46</f>
        <v>0</v>
      </c>
    </row>
    <row r="21" spans="1:25">
      <c r="A21" s="63" t="s">
        <v>338</v>
      </c>
      <c r="B21" s="64"/>
      <c r="C21" s="59">
        <v>221202</v>
      </c>
      <c r="D21" s="15"/>
      <c r="E21" s="15">
        <v>21332406.350000001</v>
      </c>
      <c r="F21" s="63" t="s">
        <v>338</v>
      </c>
      <c r="G21" s="64"/>
      <c r="H21" s="59">
        <v>221202</v>
      </c>
      <c r="I21" s="15"/>
      <c r="J21" s="15">
        <f>+งบดุลบัญชี!R47</f>
        <v>21332406.350000001</v>
      </c>
      <c r="K21" s="63" t="s">
        <v>338</v>
      </c>
      <c r="L21" s="64"/>
      <c r="M21" s="59">
        <v>221202</v>
      </c>
      <c r="N21" s="15"/>
      <c r="O21" s="15">
        <f>+งบดุลบัญชี!X47</f>
        <v>21332406.350000001</v>
      </c>
      <c r="P21" s="63" t="s">
        <v>338</v>
      </c>
      <c r="Q21" s="64"/>
      <c r="R21" s="59">
        <v>221202</v>
      </c>
      <c r="S21" s="15"/>
      <c r="T21" s="15">
        <f>+งบดุลบัญชี!AD47</f>
        <v>21332406.350000001</v>
      </c>
      <c r="U21" s="63" t="s">
        <v>338</v>
      </c>
      <c r="V21" s="64"/>
      <c r="W21" s="59">
        <v>221202</v>
      </c>
      <c r="X21" s="15"/>
      <c r="Y21" s="15">
        <f>+งบดุลบัญชี!AJ47</f>
        <v>21332406.350000001</v>
      </c>
    </row>
    <row r="22" spans="1:25">
      <c r="A22" s="14" t="s">
        <v>15</v>
      </c>
      <c r="B22" s="17"/>
      <c r="C22" s="59">
        <v>310000</v>
      </c>
      <c r="D22" s="15"/>
      <c r="E22" s="15">
        <v>12729568.52</v>
      </c>
      <c r="F22" s="14" t="s">
        <v>15</v>
      </c>
      <c r="G22" s="17"/>
      <c r="H22" s="59">
        <v>310000</v>
      </c>
      <c r="I22" s="15"/>
      <c r="J22" s="15">
        <f>+งบดุลบัญชี!R48</f>
        <v>12460154.52</v>
      </c>
      <c r="K22" s="14" t="s">
        <v>15</v>
      </c>
      <c r="L22" s="17"/>
      <c r="M22" s="59">
        <v>310000</v>
      </c>
      <c r="N22" s="15"/>
      <c r="O22" s="15">
        <f>+งบดุลบัญชี!X48</f>
        <v>12237014.52</v>
      </c>
      <c r="P22" s="14" t="s">
        <v>15</v>
      </c>
      <c r="Q22" s="17"/>
      <c r="R22" s="59">
        <v>310000</v>
      </c>
      <c r="S22" s="15"/>
      <c r="T22" s="15">
        <f>+งบดุลบัญชี!AD48</f>
        <v>12237014.52</v>
      </c>
      <c r="U22" s="14" t="s">
        <v>15</v>
      </c>
      <c r="V22" s="17"/>
      <c r="W22" s="59">
        <v>310000</v>
      </c>
      <c r="X22" s="15"/>
      <c r="Y22" s="15">
        <f>+งบดุลบัญชี!AJ48</f>
        <v>10991514.52</v>
      </c>
    </row>
    <row r="23" spans="1:25">
      <c r="A23" s="14" t="s">
        <v>350</v>
      </c>
      <c r="B23" s="17"/>
      <c r="C23" s="59">
        <v>320000</v>
      </c>
      <c r="D23" s="15"/>
      <c r="E23" s="15">
        <v>14220759.52</v>
      </c>
      <c r="F23" s="14" t="s">
        <v>350</v>
      </c>
      <c r="G23" s="17"/>
      <c r="H23" s="59">
        <v>320000</v>
      </c>
      <c r="I23" s="15"/>
      <c r="J23" s="15">
        <f>+งบดุลบัญชี!R49</f>
        <v>14220759.52</v>
      </c>
      <c r="K23" s="14" t="s">
        <v>350</v>
      </c>
      <c r="L23" s="17"/>
      <c r="M23" s="59">
        <v>320000</v>
      </c>
      <c r="N23" s="15"/>
      <c r="O23" s="15">
        <f>+งบดุลบัญชี!X49</f>
        <v>14220759.52</v>
      </c>
      <c r="P23" s="14" t="s">
        <v>350</v>
      </c>
      <c r="Q23" s="17"/>
      <c r="R23" s="59">
        <v>320000</v>
      </c>
      <c r="S23" s="15"/>
      <c r="T23" s="15">
        <f>+งบดุลบัญชี!AD49</f>
        <v>14220759.52</v>
      </c>
      <c r="U23" s="14" t="s">
        <v>350</v>
      </c>
      <c r="V23" s="17"/>
      <c r="W23" s="59">
        <v>320000</v>
      </c>
      <c r="X23" s="15"/>
      <c r="Y23" s="15">
        <f>+งบดุลบัญชี!AJ49</f>
        <v>14220759.52</v>
      </c>
    </row>
    <row r="24" spans="1:25">
      <c r="A24" s="14" t="s">
        <v>11</v>
      </c>
      <c r="B24" s="17"/>
      <c r="C24" s="59">
        <v>510000</v>
      </c>
      <c r="D24" s="15">
        <v>21850</v>
      </c>
      <c r="E24" s="15"/>
      <c r="F24" s="14" t="s">
        <v>11</v>
      </c>
      <c r="G24" s="17"/>
      <c r="H24" s="59">
        <v>510000</v>
      </c>
      <c r="I24" s="15">
        <f>+งบดุลบัญชี!Q120+งบดุลบัญชี!Q144</f>
        <v>1989430</v>
      </c>
      <c r="J24" s="15"/>
      <c r="K24" s="14" t="s">
        <v>11</v>
      </c>
      <c r="L24" s="17"/>
      <c r="M24" s="59">
        <v>510000</v>
      </c>
      <c r="N24" s="15">
        <f>+งบดุลบัญชี!W120+งบดุลบัญชี!W144</f>
        <v>3345235</v>
      </c>
      <c r="O24" s="15"/>
      <c r="P24" s="14" t="s">
        <v>11</v>
      </c>
      <c r="Q24" s="17"/>
      <c r="R24" s="59">
        <v>510000</v>
      </c>
      <c r="S24" s="15">
        <f>+งบดุลบัญชี!AC120+งบดุลบัญชี!AC144</f>
        <v>4533207.68</v>
      </c>
      <c r="T24" s="15"/>
      <c r="U24" s="14" t="s">
        <v>11</v>
      </c>
      <c r="V24" s="17"/>
      <c r="W24" s="59">
        <v>510000</v>
      </c>
      <c r="X24" s="15">
        <f>+งบดุลบัญชี!AI120+งบดุลบัญชี!AI144</f>
        <v>5549043.6799999997</v>
      </c>
      <c r="Y24" s="15"/>
    </row>
    <row r="25" spans="1:25">
      <c r="A25" s="63" t="s">
        <v>99</v>
      </c>
      <c r="B25" s="64"/>
      <c r="C25" s="59">
        <v>521000</v>
      </c>
      <c r="D25" s="15">
        <v>218720</v>
      </c>
      <c r="E25" s="15"/>
      <c r="F25" s="63" t="s">
        <v>99</v>
      </c>
      <c r="G25" s="64"/>
      <c r="H25" s="59">
        <v>521000</v>
      </c>
      <c r="I25" s="15">
        <f>+งบดุลบัญชี!Q130</f>
        <v>437440</v>
      </c>
      <c r="J25" s="15"/>
      <c r="K25" s="63" t="s">
        <v>99</v>
      </c>
      <c r="L25" s="64"/>
      <c r="M25" s="59">
        <v>521000</v>
      </c>
      <c r="N25" s="15">
        <f>+งบดุลบัญชี!W130</f>
        <v>656160</v>
      </c>
      <c r="O25" s="15"/>
      <c r="P25" s="63" t="s">
        <v>99</v>
      </c>
      <c r="Q25" s="64"/>
      <c r="R25" s="59">
        <v>521000</v>
      </c>
      <c r="S25" s="15">
        <f>+งบดุลบัญชี!AC130</f>
        <v>874880</v>
      </c>
      <c r="T25" s="15"/>
      <c r="U25" s="63" t="s">
        <v>99</v>
      </c>
      <c r="V25" s="64"/>
      <c r="W25" s="59">
        <v>521000</v>
      </c>
      <c r="X25" s="15">
        <f>+งบดุลบัญชี!AI130</f>
        <v>1093600</v>
      </c>
      <c r="Y25" s="15"/>
    </row>
    <row r="26" spans="1:25">
      <c r="A26" s="63" t="s">
        <v>98</v>
      </c>
      <c r="B26" s="64"/>
      <c r="C26" s="59">
        <v>522000</v>
      </c>
      <c r="D26" s="15">
        <v>732659.61</v>
      </c>
      <c r="E26" s="15"/>
      <c r="F26" s="63" t="s">
        <v>98</v>
      </c>
      <c r="G26" s="64"/>
      <c r="H26" s="59">
        <v>522000</v>
      </c>
      <c r="I26" s="15">
        <f>+งบดุลบัญชี!Q131+งบดุลบัญชี!Q151+งบดุลบัญชี!Q152</f>
        <v>1634812.94</v>
      </c>
      <c r="J26" s="15"/>
      <c r="K26" s="63" t="s">
        <v>98</v>
      </c>
      <c r="L26" s="64"/>
      <c r="M26" s="59">
        <v>522000</v>
      </c>
      <c r="N26" s="15">
        <f>+งบดุลบัญชี!W131+งบดุลบัญชี!W151+งบดุลบัญชี!W152</f>
        <v>2428192.94</v>
      </c>
      <c r="O26" s="15"/>
      <c r="P26" s="63" t="s">
        <v>98</v>
      </c>
      <c r="Q26" s="64"/>
      <c r="R26" s="59">
        <v>522000</v>
      </c>
      <c r="S26" s="15">
        <f>+งบดุลบัญชี!AC131+งบดุลบัญชี!AC151+งบดุลบัญชี!AC152</f>
        <v>3432295.58</v>
      </c>
      <c r="T26" s="15"/>
      <c r="U26" s="63" t="s">
        <v>98</v>
      </c>
      <c r="V26" s="64"/>
      <c r="W26" s="59">
        <v>522000</v>
      </c>
      <c r="X26" s="15">
        <f>+งบดุลบัญชี!AI131+งบดุลบัญชี!AI151+งบดุลบัญชี!AI152</f>
        <v>4245682.58</v>
      </c>
      <c r="Y26" s="15"/>
    </row>
    <row r="27" spans="1:25">
      <c r="A27" s="14" t="s">
        <v>5</v>
      </c>
      <c r="B27" s="17"/>
      <c r="C27" s="59">
        <v>531000</v>
      </c>
      <c r="D27" s="15">
        <v>13050</v>
      </c>
      <c r="E27" s="15"/>
      <c r="F27" s="14" t="s">
        <v>5</v>
      </c>
      <c r="G27" s="17"/>
      <c r="H27" s="59">
        <v>531000</v>
      </c>
      <c r="I27" s="15">
        <f>+งบดุลบัญชี!Q132</f>
        <v>43553.25</v>
      </c>
      <c r="J27" s="15"/>
      <c r="K27" s="14" t="s">
        <v>5</v>
      </c>
      <c r="L27" s="17"/>
      <c r="M27" s="59">
        <v>531000</v>
      </c>
      <c r="N27" s="15">
        <f>+งบดุลบัญชี!W132</f>
        <v>72553.25</v>
      </c>
      <c r="O27" s="15"/>
      <c r="P27" s="14" t="s">
        <v>5</v>
      </c>
      <c r="Q27" s="17"/>
      <c r="R27" s="59">
        <v>531000</v>
      </c>
      <c r="S27" s="15">
        <f>+งบดุลบัญชี!AC132</f>
        <v>101553.25</v>
      </c>
      <c r="T27" s="15"/>
      <c r="U27" s="14" t="s">
        <v>5</v>
      </c>
      <c r="V27" s="17"/>
      <c r="W27" s="59">
        <v>531000</v>
      </c>
      <c r="X27" s="15">
        <f>+งบดุลบัญชี!AI132</f>
        <v>137523.25</v>
      </c>
      <c r="Y27" s="15"/>
    </row>
    <row r="28" spans="1:25">
      <c r="A28" s="14" t="s">
        <v>6</v>
      </c>
      <c r="B28" s="17"/>
      <c r="C28" s="59">
        <v>532000</v>
      </c>
      <c r="D28" s="15">
        <v>89641.89</v>
      </c>
      <c r="E28" s="15"/>
      <c r="F28" s="14" t="s">
        <v>6</v>
      </c>
      <c r="G28" s="17"/>
      <c r="H28" s="59">
        <v>532000</v>
      </c>
      <c r="I28" s="15">
        <f>+งบดุลบัญชี!Q133</f>
        <v>519207.39</v>
      </c>
      <c r="J28" s="15"/>
      <c r="K28" s="14" t="s">
        <v>6</v>
      </c>
      <c r="L28" s="17"/>
      <c r="M28" s="59">
        <v>532000</v>
      </c>
      <c r="N28" s="15">
        <f>+งบดุลบัญชี!W133</f>
        <v>802714.94</v>
      </c>
      <c r="O28" s="15"/>
      <c r="P28" s="14" t="s">
        <v>6</v>
      </c>
      <c r="Q28" s="17"/>
      <c r="R28" s="59">
        <v>532000</v>
      </c>
      <c r="S28" s="15">
        <f>+งบดุลบัญชี!AC133</f>
        <v>944801.44</v>
      </c>
      <c r="T28" s="15"/>
      <c r="U28" s="14" t="s">
        <v>6</v>
      </c>
      <c r="V28" s="17"/>
      <c r="W28" s="59">
        <v>532000</v>
      </c>
      <c r="X28" s="15">
        <f>+งบดุลบัญชี!AI133</f>
        <v>1643475.99</v>
      </c>
      <c r="Y28" s="15"/>
    </row>
    <row r="29" spans="1:25">
      <c r="A29" s="14" t="s">
        <v>7</v>
      </c>
      <c r="B29" s="17"/>
      <c r="C29" s="59">
        <v>533000</v>
      </c>
      <c r="D29" s="15">
        <v>18076</v>
      </c>
      <c r="E29" s="15"/>
      <c r="F29" s="14" t="s">
        <v>7</v>
      </c>
      <c r="G29" s="17"/>
      <c r="H29" s="59">
        <v>533000</v>
      </c>
      <c r="I29" s="15">
        <f>+งบดุลบัญชี!Q134</f>
        <v>165423.09</v>
      </c>
      <c r="J29" s="15"/>
      <c r="K29" s="14" t="s">
        <v>7</v>
      </c>
      <c r="L29" s="17"/>
      <c r="M29" s="59">
        <v>533000</v>
      </c>
      <c r="N29" s="15">
        <f>+งบดุลบัญชี!W134</f>
        <v>333138.33999999997</v>
      </c>
      <c r="O29" s="15"/>
      <c r="P29" s="14" t="s">
        <v>7</v>
      </c>
      <c r="Q29" s="17"/>
      <c r="R29" s="59">
        <v>533000</v>
      </c>
      <c r="S29" s="15">
        <f>+งบดุลบัญชี!AC134</f>
        <v>404289.92999999993</v>
      </c>
      <c r="T29" s="15"/>
      <c r="U29" s="14" t="s">
        <v>7</v>
      </c>
      <c r="V29" s="17"/>
      <c r="W29" s="59">
        <v>533000</v>
      </c>
      <c r="X29" s="15">
        <f>+งบดุลบัญชี!AI134</f>
        <v>536647.99</v>
      </c>
      <c r="Y29" s="15"/>
    </row>
    <row r="30" spans="1:25">
      <c r="A30" s="14" t="s">
        <v>8</v>
      </c>
      <c r="B30" s="17"/>
      <c r="C30" s="59">
        <v>534000</v>
      </c>
      <c r="D30" s="15">
        <v>82973.429999999993</v>
      </c>
      <c r="E30" s="15"/>
      <c r="F30" s="14" t="s">
        <v>8</v>
      </c>
      <c r="G30" s="17"/>
      <c r="H30" s="59">
        <v>534000</v>
      </c>
      <c r="I30" s="15">
        <f>+งบดุลบัญชี!Q135</f>
        <v>151034.96999999997</v>
      </c>
      <c r="J30" s="15"/>
      <c r="K30" s="14" t="s">
        <v>8</v>
      </c>
      <c r="L30" s="17"/>
      <c r="M30" s="59">
        <v>534000</v>
      </c>
      <c r="N30" s="15">
        <f>+งบดุลบัญชี!W135</f>
        <v>233979.86</v>
      </c>
      <c r="O30" s="15"/>
      <c r="P30" s="14" t="s">
        <v>8</v>
      </c>
      <c r="Q30" s="17"/>
      <c r="R30" s="59">
        <v>534000</v>
      </c>
      <c r="S30" s="15">
        <f>+งบดุลบัญชี!AC135</f>
        <v>254566.75</v>
      </c>
      <c r="T30" s="15"/>
      <c r="U30" s="14" t="s">
        <v>8</v>
      </c>
      <c r="V30" s="17"/>
      <c r="W30" s="59">
        <v>534000</v>
      </c>
      <c r="X30" s="15">
        <f>+งบดุลบัญชี!AI135</f>
        <v>406238.93</v>
      </c>
      <c r="Y30" s="15"/>
    </row>
    <row r="31" spans="1:25">
      <c r="A31" s="14" t="s">
        <v>9</v>
      </c>
      <c r="B31" s="17"/>
      <c r="C31" s="246">
        <v>541000</v>
      </c>
      <c r="D31" s="15">
        <v>0</v>
      </c>
      <c r="E31" s="15"/>
      <c r="F31" s="14" t="s">
        <v>9</v>
      </c>
      <c r="G31" s="17"/>
      <c r="H31" s="246">
        <v>541000</v>
      </c>
      <c r="I31" s="15">
        <f>+งบดุลบัญชี!Q136</f>
        <v>0</v>
      </c>
      <c r="J31" s="15"/>
      <c r="K31" s="14" t="s">
        <v>9</v>
      </c>
      <c r="L31" s="17"/>
      <c r="M31" s="246">
        <v>541000</v>
      </c>
      <c r="N31" s="15">
        <f>+งบดุลบัญชี!W136</f>
        <v>0</v>
      </c>
      <c r="O31" s="15"/>
      <c r="P31" s="14" t="s">
        <v>9</v>
      </c>
      <c r="Q31" s="17"/>
      <c r="R31" s="246">
        <v>541000</v>
      </c>
      <c r="S31" s="15">
        <f>+งบดุลบัญชี!AC136</f>
        <v>14970</v>
      </c>
      <c r="T31" s="15"/>
      <c r="U31" s="14" t="s">
        <v>9</v>
      </c>
      <c r="V31" s="17"/>
      <c r="W31" s="246">
        <v>541000</v>
      </c>
      <c r="X31" s="15">
        <f>+งบดุลบัญชี!AI136</f>
        <v>124970</v>
      </c>
      <c r="Y31" s="15"/>
    </row>
    <row r="32" spans="1:25">
      <c r="A32" s="14" t="s">
        <v>10</v>
      </c>
      <c r="B32" s="17"/>
      <c r="C32" s="59">
        <v>542000</v>
      </c>
      <c r="D32" s="58">
        <v>0</v>
      </c>
      <c r="E32" s="15"/>
      <c r="F32" s="14" t="s">
        <v>10</v>
      </c>
      <c r="G32" s="17"/>
      <c r="H32" s="59">
        <v>542000</v>
      </c>
      <c r="I32" s="58">
        <f>+งบดุลบัญชี!Q137</f>
        <v>0</v>
      </c>
      <c r="J32" s="15"/>
      <c r="K32" s="14" t="s">
        <v>10</v>
      </c>
      <c r="L32" s="17"/>
      <c r="M32" s="59">
        <v>542000</v>
      </c>
      <c r="N32" s="58">
        <f>+งบดุลบัญชี!W137</f>
        <v>0</v>
      </c>
      <c r="O32" s="15"/>
      <c r="P32" s="14" t="s">
        <v>10</v>
      </c>
      <c r="Q32" s="17"/>
      <c r="R32" s="59">
        <v>542000</v>
      </c>
      <c r="S32" s="15">
        <f>+งบดุลบัญชี!AC137</f>
        <v>15000</v>
      </c>
      <c r="T32" s="15"/>
      <c r="U32" s="14" t="s">
        <v>10</v>
      </c>
      <c r="V32" s="17"/>
      <c r="W32" s="59">
        <v>542000</v>
      </c>
      <c r="X32" s="15">
        <f>+งบดุลบัญชี!AI137</f>
        <v>15000</v>
      </c>
      <c r="Y32" s="15"/>
    </row>
    <row r="33" spans="1:25">
      <c r="A33" s="14" t="s">
        <v>12</v>
      </c>
      <c r="B33" s="17"/>
      <c r="C33" s="59">
        <v>551000</v>
      </c>
      <c r="D33" s="58">
        <v>0</v>
      </c>
      <c r="E33" s="15"/>
      <c r="F33" s="14" t="s">
        <v>12</v>
      </c>
      <c r="G33" s="17"/>
      <c r="H33" s="59">
        <v>551000</v>
      </c>
      <c r="I33" s="58">
        <f>+งบดุลบัญชี!Q138</f>
        <v>0</v>
      </c>
      <c r="J33" s="15"/>
      <c r="K33" s="14" t="s">
        <v>12</v>
      </c>
      <c r="L33" s="17"/>
      <c r="M33" s="59">
        <v>551000</v>
      </c>
      <c r="N33" s="58">
        <f>+งบดุลบัญชี!W138</f>
        <v>0</v>
      </c>
      <c r="O33" s="15"/>
      <c r="P33" s="14" t="s">
        <v>12</v>
      </c>
      <c r="Q33" s="17"/>
      <c r="R33" s="59">
        <v>551000</v>
      </c>
      <c r="S33" s="15">
        <f>+งบดุลบัญชี!AC138</f>
        <v>0</v>
      </c>
      <c r="T33" s="15"/>
      <c r="U33" s="14" t="s">
        <v>12</v>
      </c>
      <c r="V33" s="17"/>
      <c r="W33" s="59">
        <v>551000</v>
      </c>
      <c r="X33" s="15">
        <f>+งบดุลบัญชี!AH138</f>
        <v>0</v>
      </c>
      <c r="Y33" s="15"/>
    </row>
    <row r="34" spans="1:25">
      <c r="A34" s="14" t="s">
        <v>13</v>
      </c>
      <c r="B34" s="17"/>
      <c r="C34" s="59">
        <v>561000</v>
      </c>
      <c r="D34" s="58">
        <v>7000</v>
      </c>
      <c r="E34" s="15"/>
      <c r="F34" s="14" t="s">
        <v>13</v>
      </c>
      <c r="G34" s="17"/>
      <c r="H34" s="59">
        <v>561000</v>
      </c>
      <c r="I34" s="58">
        <f>+งบดุลบัญชี!Q139</f>
        <v>982000</v>
      </c>
      <c r="J34" s="15"/>
      <c r="K34" s="14" t="s">
        <v>13</v>
      </c>
      <c r="L34" s="17"/>
      <c r="M34" s="59">
        <v>561000</v>
      </c>
      <c r="N34" s="58">
        <f>+งบดุลบัญชี!W139</f>
        <v>982000</v>
      </c>
      <c r="O34" s="15"/>
      <c r="P34" s="14" t="s">
        <v>13</v>
      </c>
      <c r="Q34" s="17"/>
      <c r="R34" s="59">
        <v>561000</v>
      </c>
      <c r="S34" s="15">
        <f>+งบดุลบัญชี!AC139</f>
        <v>1937000</v>
      </c>
      <c r="T34" s="15"/>
      <c r="U34" s="14" t="s">
        <v>13</v>
      </c>
      <c r="V34" s="17"/>
      <c r="W34" s="59">
        <v>561000</v>
      </c>
      <c r="X34" s="15">
        <f>+งบดุลบัญชี!AI139</f>
        <v>1988000</v>
      </c>
      <c r="Y34" s="15"/>
    </row>
    <row r="35" spans="1:25">
      <c r="A35" s="14"/>
      <c r="B35" s="17"/>
      <c r="C35" s="59"/>
      <c r="D35" s="58"/>
      <c r="E35" s="15"/>
      <c r="F35" s="14"/>
      <c r="G35" s="17"/>
      <c r="H35" s="59"/>
      <c r="I35" s="58"/>
      <c r="J35" s="15"/>
      <c r="K35" s="14"/>
      <c r="L35" s="17"/>
      <c r="M35" s="59"/>
      <c r="N35" s="58"/>
      <c r="O35" s="15"/>
      <c r="P35" s="14"/>
      <c r="Q35" s="17"/>
      <c r="R35" s="59"/>
      <c r="S35" s="58"/>
      <c r="T35" s="15"/>
      <c r="U35" s="14"/>
      <c r="V35" s="17"/>
      <c r="W35" s="59"/>
      <c r="X35" s="58"/>
      <c r="Y35" s="15"/>
    </row>
    <row r="36" spans="1:25" ht="21.75" customHeight="1">
      <c r="A36" s="10"/>
      <c r="B36" s="65"/>
      <c r="C36" s="60"/>
      <c r="D36" s="15"/>
      <c r="E36" s="15"/>
      <c r="F36" s="10"/>
      <c r="G36" s="65"/>
      <c r="H36" s="60"/>
      <c r="I36" s="15"/>
      <c r="J36" s="15"/>
      <c r="K36" s="10"/>
      <c r="L36" s="65"/>
      <c r="M36" s="60"/>
      <c r="N36" s="15"/>
      <c r="O36" s="15"/>
      <c r="P36" s="10"/>
      <c r="Q36" s="65"/>
      <c r="R36" s="60"/>
      <c r="S36" s="15"/>
      <c r="T36" s="15"/>
      <c r="U36" s="10"/>
      <c r="V36" s="65"/>
      <c r="W36" s="60"/>
      <c r="X36" s="15"/>
      <c r="Y36" s="15"/>
    </row>
    <row r="37" spans="1:25" ht="19.5" thickBot="1">
      <c r="A37" s="396" t="s">
        <v>17</v>
      </c>
      <c r="B37" s="397"/>
      <c r="C37" s="421"/>
      <c r="D37" s="61">
        <f>SUM(D5:D36)</f>
        <v>55067202.979999997</v>
      </c>
      <c r="E37" s="61">
        <f>SUM(E5:E36)</f>
        <v>55067202.980000004</v>
      </c>
      <c r="F37" s="396" t="s">
        <v>17</v>
      </c>
      <c r="G37" s="397"/>
      <c r="H37" s="421"/>
      <c r="I37" s="61">
        <f>SUM(I5:I36)</f>
        <v>64579976.110000007</v>
      </c>
      <c r="J37" s="61">
        <f>SUM(J5:J36)</f>
        <v>64579976.109999999</v>
      </c>
      <c r="K37" s="396" t="s">
        <v>17</v>
      </c>
      <c r="L37" s="397"/>
      <c r="M37" s="421"/>
      <c r="N37" s="61">
        <f>SUM(N5:N36)</f>
        <v>66555637.370000005</v>
      </c>
      <c r="O37" s="61">
        <f>SUM(O5:O36)</f>
        <v>66555637.36999999</v>
      </c>
      <c r="P37" s="396" t="s">
        <v>17</v>
      </c>
      <c r="Q37" s="397"/>
      <c r="R37" s="421"/>
      <c r="S37" s="61">
        <f>SUM(S5:S36)</f>
        <v>73327129.690000013</v>
      </c>
      <c r="T37" s="61">
        <f>SUM(T5:T36)</f>
        <v>73327129.689999998</v>
      </c>
      <c r="U37" s="396" t="s">
        <v>17</v>
      </c>
      <c r="V37" s="397"/>
      <c r="W37" s="421"/>
      <c r="X37" s="61">
        <f>SUM(X5:X36)</f>
        <v>73831617.410000011</v>
      </c>
      <c r="Y37" s="61">
        <f>SUM(Y5:Y36)</f>
        <v>73831617.409999996</v>
      </c>
    </row>
    <row r="38" spans="1:25" ht="19.5" thickTop="1">
      <c r="A38" s="17"/>
      <c r="B38" s="17"/>
      <c r="C38" s="17"/>
      <c r="D38" s="62"/>
      <c r="E38" s="62"/>
      <c r="I38" s="330">
        <f>+I37-J37</f>
        <v>0</v>
      </c>
      <c r="T38" s="330">
        <f>+T37-S37</f>
        <v>0</v>
      </c>
      <c r="X38" s="330">
        <f>+X37-Y37</f>
        <v>0</v>
      </c>
    </row>
    <row r="39" spans="1:25">
      <c r="A39" s="17"/>
      <c r="B39" s="17"/>
      <c r="C39" s="17"/>
      <c r="D39" s="62"/>
      <c r="E39" s="62"/>
      <c r="N39" s="330">
        <f>+N37-O37</f>
        <v>0</v>
      </c>
    </row>
    <row r="40" spans="1:25">
      <c r="A40" s="17"/>
      <c r="B40" s="17"/>
      <c r="C40" s="17"/>
      <c r="D40" s="62"/>
      <c r="E40" s="62"/>
    </row>
    <row r="41" spans="1:25" s="27" customFormat="1">
      <c r="A41" s="245" t="s">
        <v>259</v>
      </c>
      <c r="B41" s="416" t="s">
        <v>32</v>
      </c>
      <c r="C41" s="416"/>
      <c r="D41" s="420" t="s">
        <v>250</v>
      </c>
      <c r="E41" s="420"/>
    </row>
    <row r="42" spans="1:25" s="27" customFormat="1">
      <c r="A42" s="245" t="s">
        <v>287</v>
      </c>
      <c r="B42" s="416" t="s">
        <v>33</v>
      </c>
      <c r="C42" s="416"/>
      <c r="D42" s="415" t="s">
        <v>35</v>
      </c>
      <c r="E42" s="415"/>
    </row>
    <row r="43" spans="1:25" s="27" customFormat="1">
      <c r="A43" s="245" t="s">
        <v>288</v>
      </c>
      <c r="D43" s="415"/>
      <c r="E43" s="415"/>
    </row>
    <row r="44" spans="1:25">
      <c r="E44" s="6">
        <f>+E37-D37</f>
        <v>0</v>
      </c>
    </row>
  </sheetData>
  <mergeCells count="30">
    <mergeCell ref="U1:Y1"/>
    <mergeCell ref="U2:Y2"/>
    <mergeCell ref="U3:Y3"/>
    <mergeCell ref="U4:V4"/>
    <mergeCell ref="U37:W37"/>
    <mergeCell ref="P1:T1"/>
    <mergeCell ref="P2:T2"/>
    <mergeCell ref="P3:T3"/>
    <mergeCell ref="P4:Q4"/>
    <mergeCell ref="P37:R37"/>
    <mergeCell ref="K1:O1"/>
    <mergeCell ref="K2:O2"/>
    <mergeCell ref="K3:O3"/>
    <mergeCell ref="K4:L4"/>
    <mergeCell ref="K37:M37"/>
    <mergeCell ref="F1:J1"/>
    <mergeCell ref="F2:J2"/>
    <mergeCell ref="F3:J3"/>
    <mergeCell ref="F4:G4"/>
    <mergeCell ref="F37:H37"/>
    <mergeCell ref="D43:E43"/>
    <mergeCell ref="D42:E42"/>
    <mergeCell ref="A1:E1"/>
    <mergeCell ref="B42:C42"/>
    <mergeCell ref="A4:B4"/>
    <mergeCell ref="A3:E3"/>
    <mergeCell ref="B41:C41"/>
    <mergeCell ref="D41:E41"/>
    <mergeCell ref="A2:E2"/>
    <mergeCell ref="A37:C37"/>
  </mergeCells>
  <phoneticPr fontId="2" type="noConversion"/>
  <pageMargins left="0.70866141732283505" right="0.59055118110236204" top="0.59055118110236204" bottom="0.196850393700787" header="0.511811023622047" footer="0.511811023622047"/>
  <pageSetup paperSize="9" scale="95" orientation="portrait" r:id="rId1"/>
  <headerFooter alignWithMargins="0"/>
  <colBreaks count="1" manualBreakCount="1">
    <brk id="20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rgb="FFC00000"/>
  </sheetPr>
  <dimension ref="A1:T76"/>
  <sheetViews>
    <sheetView view="pageBreakPreview" topLeftCell="O61" zoomScaleSheetLayoutView="100" workbookViewId="0">
      <selection activeCell="T68" sqref="T68"/>
    </sheetView>
  </sheetViews>
  <sheetFormatPr defaultRowHeight="21.75"/>
  <cols>
    <col min="1" max="1" width="59.140625" style="78" customWidth="1"/>
    <col min="2" max="2" width="14.140625" style="127" customWidth="1"/>
    <col min="3" max="3" width="15.7109375" style="78" customWidth="1"/>
    <col min="4" max="4" width="15.5703125" style="78" customWidth="1"/>
    <col min="5" max="5" width="57.5703125" style="78" customWidth="1"/>
    <col min="6" max="6" width="12.42578125" style="78" customWidth="1"/>
    <col min="7" max="7" width="14.85546875" style="78" customWidth="1"/>
    <col min="8" max="8" width="15.140625" style="78" customWidth="1"/>
    <col min="9" max="9" width="56.7109375" style="78" customWidth="1"/>
    <col min="10" max="10" width="14.42578125" style="78" customWidth="1"/>
    <col min="11" max="11" width="16.42578125" style="78" customWidth="1"/>
    <col min="12" max="12" width="16.140625" style="78" customWidth="1"/>
    <col min="13" max="13" width="59.28515625" style="78" customWidth="1"/>
    <col min="14" max="14" width="14.5703125" style="78" customWidth="1"/>
    <col min="15" max="15" width="16.28515625" style="78" customWidth="1"/>
    <col min="16" max="16" width="15.5703125" style="78" customWidth="1"/>
    <col min="17" max="17" width="59.5703125" style="78" customWidth="1"/>
    <col min="18" max="18" width="14.5703125" style="78" customWidth="1"/>
    <col min="19" max="19" width="14.7109375" style="78" customWidth="1"/>
    <col min="20" max="20" width="16.28515625" style="78" customWidth="1"/>
    <col min="21" max="16384" width="9.140625" style="78"/>
  </cols>
  <sheetData>
    <row r="1" spans="1:20">
      <c r="D1" s="73" t="s">
        <v>122</v>
      </c>
      <c r="F1" s="127"/>
      <c r="H1" s="73" t="s">
        <v>122</v>
      </c>
      <c r="J1" s="127"/>
      <c r="L1" s="73" t="s">
        <v>122</v>
      </c>
      <c r="N1" s="127"/>
      <c r="P1" s="73" t="s">
        <v>122</v>
      </c>
      <c r="R1" s="127"/>
      <c r="T1" s="73" t="s">
        <v>122</v>
      </c>
    </row>
    <row r="2" spans="1:20">
      <c r="A2" s="422" t="s">
        <v>28</v>
      </c>
      <c r="B2" s="422"/>
      <c r="C2" s="422"/>
      <c r="D2" s="422"/>
      <c r="E2" s="422" t="s">
        <v>28</v>
      </c>
      <c r="F2" s="422"/>
      <c r="G2" s="422"/>
      <c r="H2" s="422"/>
      <c r="I2" s="422" t="s">
        <v>28</v>
      </c>
      <c r="J2" s="422"/>
      <c r="K2" s="422"/>
      <c r="L2" s="422"/>
      <c r="M2" s="422" t="s">
        <v>28</v>
      </c>
      <c r="N2" s="422"/>
      <c r="O2" s="422"/>
      <c r="P2" s="422"/>
      <c r="Q2" s="422" t="s">
        <v>28</v>
      </c>
      <c r="R2" s="422"/>
      <c r="S2" s="422"/>
      <c r="T2" s="422"/>
    </row>
    <row r="3" spans="1:20">
      <c r="A3" s="422" t="s">
        <v>351</v>
      </c>
      <c r="B3" s="422"/>
      <c r="C3" s="422"/>
      <c r="D3" s="422"/>
      <c r="E3" s="422" t="s">
        <v>351</v>
      </c>
      <c r="F3" s="422"/>
      <c r="G3" s="422"/>
      <c r="H3" s="422"/>
      <c r="I3" s="422" t="s">
        <v>351</v>
      </c>
      <c r="J3" s="422"/>
      <c r="K3" s="422"/>
      <c r="L3" s="422"/>
      <c r="M3" s="422" t="s">
        <v>351</v>
      </c>
      <c r="N3" s="422"/>
      <c r="O3" s="422"/>
      <c r="P3" s="422"/>
      <c r="Q3" s="422" t="s">
        <v>351</v>
      </c>
      <c r="R3" s="422"/>
      <c r="S3" s="422"/>
      <c r="T3" s="422"/>
    </row>
    <row r="4" spans="1:20" ht="21" customHeight="1">
      <c r="A4" s="423" t="s">
        <v>352</v>
      </c>
      <c r="B4" s="423"/>
      <c r="C4" s="423"/>
      <c r="D4" s="423"/>
      <c r="E4" s="423" t="s">
        <v>420</v>
      </c>
      <c r="F4" s="423"/>
      <c r="G4" s="423"/>
      <c r="H4" s="423"/>
      <c r="I4" s="423" t="s">
        <v>428</v>
      </c>
      <c r="J4" s="423"/>
      <c r="K4" s="423"/>
      <c r="L4" s="423"/>
      <c r="M4" s="423" t="s">
        <v>451</v>
      </c>
      <c r="N4" s="423"/>
      <c r="O4" s="423"/>
      <c r="P4" s="423"/>
      <c r="Q4" s="423" t="s">
        <v>465</v>
      </c>
      <c r="R4" s="423"/>
      <c r="S4" s="423"/>
      <c r="T4" s="423"/>
    </row>
    <row r="5" spans="1:20" s="180" customFormat="1">
      <c r="A5" s="274" t="s">
        <v>0</v>
      </c>
      <c r="B5" s="125" t="s">
        <v>109</v>
      </c>
      <c r="C5" s="125" t="s">
        <v>16</v>
      </c>
      <c r="D5" s="125" t="s">
        <v>123</v>
      </c>
      <c r="E5" s="274" t="s">
        <v>0</v>
      </c>
      <c r="F5" s="125" t="s">
        <v>109</v>
      </c>
      <c r="G5" s="125" t="s">
        <v>16</v>
      </c>
      <c r="H5" s="125" t="s">
        <v>123</v>
      </c>
      <c r="I5" s="274" t="s">
        <v>0</v>
      </c>
      <c r="J5" s="125" t="s">
        <v>109</v>
      </c>
      <c r="K5" s="125" t="s">
        <v>16</v>
      </c>
      <c r="L5" s="125" t="s">
        <v>123</v>
      </c>
      <c r="M5" s="274" t="s">
        <v>0</v>
      </c>
      <c r="N5" s="125" t="s">
        <v>109</v>
      </c>
      <c r="O5" s="125" t="s">
        <v>16</v>
      </c>
      <c r="P5" s="125" t="s">
        <v>123</v>
      </c>
      <c r="Q5" s="274" t="s">
        <v>0</v>
      </c>
      <c r="R5" s="125" t="s">
        <v>109</v>
      </c>
      <c r="S5" s="125" t="s">
        <v>16</v>
      </c>
      <c r="T5" s="125" t="s">
        <v>123</v>
      </c>
    </row>
    <row r="6" spans="1:20" s="73" customFormat="1">
      <c r="A6" s="149" t="s">
        <v>73</v>
      </c>
      <c r="B6" s="82">
        <v>410000</v>
      </c>
      <c r="C6" s="150"/>
      <c r="D6" s="150"/>
      <c r="E6" s="149" t="s">
        <v>73</v>
      </c>
      <c r="F6" s="82">
        <v>410000</v>
      </c>
      <c r="G6" s="150"/>
      <c r="H6" s="150"/>
      <c r="I6" s="149" t="s">
        <v>73</v>
      </c>
      <c r="J6" s="82">
        <v>410000</v>
      </c>
      <c r="K6" s="150"/>
      <c r="L6" s="150"/>
      <c r="M6" s="149" t="s">
        <v>73</v>
      </c>
      <c r="N6" s="82">
        <v>410000</v>
      </c>
      <c r="O6" s="150"/>
      <c r="P6" s="150"/>
      <c r="Q6" s="149" t="s">
        <v>73</v>
      </c>
      <c r="R6" s="82">
        <v>410000</v>
      </c>
      <c r="S6" s="150"/>
      <c r="T6" s="150"/>
    </row>
    <row r="7" spans="1:20" s="73" customFormat="1">
      <c r="A7" s="151" t="s">
        <v>74</v>
      </c>
      <c r="B7" s="82">
        <v>411000</v>
      </c>
      <c r="C7" s="150"/>
      <c r="D7" s="150"/>
      <c r="E7" s="151" t="s">
        <v>74</v>
      </c>
      <c r="F7" s="82">
        <v>411000</v>
      </c>
      <c r="G7" s="150"/>
      <c r="H7" s="150"/>
      <c r="I7" s="151" t="s">
        <v>74</v>
      </c>
      <c r="J7" s="82">
        <v>411000</v>
      </c>
      <c r="K7" s="150"/>
      <c r="L7" s="150"/>
      <c r="M7" s="151" t="s">
        <v>74</v>
      </c>
      <c r="N7" s="82">
        <v>411000</v>
      </c>
      <c r="O7" s="150"/>
      <c r="P7" s="150"/>
      <c r="Q7" s="151" t="s">
        <v>74</v>
      </c>
      <c r="R7" s="82">
        <v>411000</v>
      </c>
      <c r="S7" s="150"/>
      <c r="T7" s="150"/>
    </row>
    <row r="8" spans="1:20">
      <c r="A8" s="77" t="s">
        <v>124</v>
      </c>
      <c r="B8" s="83">
        <v>411001</v>
      </c>
      <c r="C8" s="79">
        <v>167000</v>
      </c>
      <c r="D8" s="79">
        <f>SUM(งบดุลบัญชี!H56)</f>
        <v>0</v>
      </c>
      <c r="E8" s="77" t="s">
        <v>124</v>
      </c>
      <c r="F8" s="83">
        <v>411001</v>
      </c>
      <c r="G8" s="79">
        <v>167000</v>
      </c>
      <c r="H8" s="79">
        <f>+D8</f>
        <v>0</v>
      </c>
      <c r="I8" s="77" t="s">
        <v>124</v>
      </c>
      <c r="J8" s="83">
        <v>411001</v>
      </c>
      <c r="K8" s="79">
        <v>167000</v>
      </c>
      <c r="L8" s="79">
        <f>+H8</f>
        <v>0</v>
      </c>
      <c r="M8" s="77" t="s">
        <v>124</v>
      </c>
      <c r="N8" s="83">
        <v>411001</v>
      </c>
      <c r="O8" s="79">
        <v>167000</v>
      </c>
      <c r="P8" s="79">
        <v>12911</v>
      </c>
      <c r="Q8" s="77" t="s">
        <v>124</v>
      </c>
      <c r="R8" s="83">
        <v>411001</v>
      </c>
      <c r="S8" s="79">
        <v>167000</v>
      </c>
      <c r="T8" s="79">
        <v>81906.5</v>
      </c>
    </row>
    <row r="9" spans="1:20">
      <c r="A9" s="77" t="s">
        <v>125</v>
      </c>
      <c r="B9" s="83">
        <v>411002</v>
      </c>
      <c r="C9" s="79">
        <v>22000</v>
      </c>
      <c r="D9" s="79">
        <v>0</v>
      </c>
      <c r="E9" s="77" t="s">
        <v>125</v>
      </c>
      <c r="F9" s="83">
        <v>411002</v>
      </c>
      <c r="G9" s="79">
        <v>22000</v>
      </c>
      <c r="H9" s="79">
        <f t="shared" ref="H9:H10" si="0">+D9</f>
        <v>0</v>
      </c>
      <c r="I9" s="77" t="s">
        <v>125</v>
      </c>
      <c r="J9" s="83">
        <v>411002</v>
      </c>
      <c r="K9" s="79">
        <v>22000</v>
      </c>
      <c r="L9" s="79">
        <f t="shared" ref="L9:L10" si="1">+H9</f>
        <v>0</v>
      </c>
      <c r="M9" s="77" t="s">
        <v>125</v>
      </c>
      <c r="N9" s="83">
        <v>411002</v>
      </c>
      <c r="O9" s="79">
        <v>22000</v>
      </c>
      <c r="P9" s="79">
        <v>1016.97</v>
      </c>
      <c r="Q9" s="77" t="s">
        <v>125</v>
      </c>
      <c r="R9" s="83">
        <v>411002</v>
      </c>
      <c r="S9" s="79">
        <v>22000</v>
      </c>
      <c r="T9" s="79">
        <v>6136.23</v>
      </c>
    </row>
    <row r="10" spans="1:20">
      <c r="A10" s="77" t="s">
        <v>126</v>
      </c>
      <c r="B10" s="83">
        <v>411003</v>
      </c>
      <c r="C10" s="79">
        <v>9000</v>
      </c>
      <c r="D10" s="79">
        <f>SUM(งบดุลบัญชี!H58)</f>
        <v>0</v>
      </c>
      <c r="E10" s="77" t="s">
        <v>126</v>
      </c>
      <c r="F10" s="83">
        <v>411003</v>
      </c>
      <c r="G10" s="79">
        <v>9000</v>
      </c>
      <c r="H10" s="79">
        <f t="shared" si="0"/>
        <v>0</v>
      </c>
      <c r="I10" s="77" t="s">
        <v>126</v>
      </c>
      <c r="J10" s="83">
        <v>411003</v>
      </c>
      <c r="K10" s="79">
        <v>9000</v>
      </c>
      <c r="L10" s="79">
        <f t="shared" si="1"/>
        <v>0</v>
      </c>
      <c r="M10" s="77" t="s">
        <v>126</v>
      </c>
      <c r="N10" s="83">
        <v>411003</v>
      </c>
      <c r="O10" s="79">
        <v>9000</v>
      </c>
      <c r="P10" s="79">
        <v>288</v>
      </c>
      <c r="Q10" s="77" t="s">
        <v>126</v>
      </c>
      <c r="R10" s="83">
        <v>411003</v>
      </c>
      <c r="S10" s="79">
        <v>9000</v>
      </c>
      <c r="T10" s="79">
        <v>3716</v>
      </c>
    </row>
    <row r="11" spans="1:20" s="73" customFormat="1">
      <c r="A11" s="81" t="s">
        <v>17</v>
      </c>
      <c r="B11" s="82"/>
      <c r="C11" s="21">
        <f>SUM(C8:C10)</f>
        <v>198000</v>
      </c>
      <c r="D11" s="21">
        <f>SUM(D8:D10)</f>
        <v>0</v>
      </c>
      <c r="E11" s="81" t="s">
        <v>17</v>
      </c>
      <c r="F11" s="82"/>
      <c r="G11" s="21">
        <f>SUM(G8:G10)</f>
        <v>198000</v>
      </c>
      <c r="H11" s="21">
        <f>SUM(H8:H10)</f>
        <v>0</v>
      </c>
      <c r="I11" s="81" t="s">
        <v>17</v>
      </c>
      <c r="J11" s="82"/>
      <c r="K11" s="21">
        <f>SUM(K8:K10)</f>
        <v>198000</v>
      </c>
      <c r="L11" s="21">
        <f>SUM(L8:L10)</f>
        <v>0</v>
      </c>
      <c r="M11" s="81" t="s">
        <v>17</v>
      </c>
      <c r="N11" s="82"/>
      <c r="O11" s="21">
        <f>SUM(O8:O10)</f>
        <v>198000</v>
      </c>
      <c r="P11" s="21">
        <f>SUM(P8:P10)</f>
        <v>14215.97</v>
      </c>
      <c r="Q11" s="81" t="s">
        <v>17</v>
      </c>
      <c r="R11" s="82"/>
      <c r="S11" s="21">
        <f>SUM(S8:S10)</f>
        <v>198000</v>
      </c>
      <c r="T11" s="21">
        <f>SUM(T8:T10)</f>
        <v>91758.73</v>
      </c>
    </row>
    <row r="12" spans="1:20" s="73" customFormat="1">
      <c r="A12" s="151" t="s">
        <v>75</v>
      </c>
      <c r="B12" s="82">
        <v>412000</v>
      </c>
      <c r="C12" s="150"/>
      <c r="D12" s="150"/>
      <c r="E12" s="151" t="s">
        <v>75</v>
      </c>
      <c r="F12" s="82">
        <v>412000</v>
      </c>
      <c r="G12" s="150"/>
      <c r="H12" s="150"/>
      <c r="I12" s="151" t="s">
        <v>75</v>
      </c>
      <c r="J12" s="82">
        <v>412000</v>
      </c>
      <c r="K12" s="150"/>
      <c r="L12" s="150"/>
      <c r="M12" s="151" t="s">
        <v>75</v>
      </c>
      <c r="N12" s="82">
        <v>412000</v>
      </c>
      <c r="O12" s="150"/>
      <c r="P12" s="150"/>
      <c r="Q12" s="151" t="s">
        <v>75</v>
      </c>
      <c r="R12" s="82">
        <v>412000</v>
      </c>
      <c r="S12" s="150"/>
      <c r="T12" s="150"/>
    </row>
    <row r="13" spans="1:20">
      <c r="A13" s="77" t="s">
        <v>263</v>
      </c>
      <c r="B13" s="83">
        <v>412103</v>
      </c>
      <c r="C13" s="79">
        <v>100</v>
      </c>
      <c r="D13" s="79">
        <v>0</v>
      </c>
      <c r="E13" s="77" t="s">
        <v>263</v>
      </c>
      <c r="F13" s="83">
        <v>412103</v>
      </c>
      <c r="G13" s="79">
        <v>100</v>
      </c>
      <c r="H13" s="79">
        <f>+D13</f>
        <v>0</v>
      </c>
      <c r="I13" s="77" t="s">
        <v>263</v>
      </c>
      <c r="J13" s="83">
        <v>412103</v>
      </c>
      <c r="K13" s="79">
        <v>100</v>
      </c>
      <c r="L13" s="79">
        <f>+H13</f>
        <v>0</v>
      </c>
      <c r="M13" s="77" t="s">
        <v>263</v>
      </c>
      <c r="N13" s="83">
        <v>412103</v>
      </c>
      <c r="O13" s="79">
        <v>100</v>
      </c>
      <c r="P13" s="79">
        <v>19.399999999999999</v>
      </c>
      <c r="Q13" s="77" t="s">
        <v>263</v>
      </c>
      <c r="R13" s="83">
        <v>412103</v>
      </c>
      <c r="S13" s="79">
        <v>100</v>
      </c>
      <c r="T13" s="79">
        <v>756.6</v>
      </c>
    </row>
    <row r="14" spans="1:20">
      <c r="A14" s="77" t="s">
        <v>264</v>
      </c>
      <c r="B14" s="83">
        <v>412104</v>
      </c>
      <c r="C14" s="79">
        <v>180000</v>
      </c>
      <c r="D14" s="79">
        <v>20600</v>
      </c>
      <c r="E14" s="77" t="s">
        <v>264</v>
      </c>
      <c r="F14" s="83">
        <v>412104</v>
      </c>
      <c r="G14" s="79">
        <v>180000</v>
      </c>
      <c r="H14" s="79">
        <v>36520</v>
      </c>
      <c r="I14" s="77" t="s">
        <v>264</v>
      </c>
      <c r="J14" s="83">
        <v>412104</v>
      </c>
      <c r="K14" s="79">
        <v>180000</v>
      </c>
      <c r="L14" s="79">
        <v>56540</v>
      </c>
      <c r="M14" s="77" t="s">
        <v>264</v>
      </c>
      <c r="N14" s="83">
        <v>412104</v>
      </c>
      <c r="O14" s="79">
        <v>180000</v>
      </c>
      <c r="P14" s="79">
        <v>71020</v>
      </c>
      <c r="Q14" s="77" t="s">
        <v>264</v>
      </c>
      <c r="R14" s="83">
        <v>412104</v>
      </c>
      <c r="S14" s="79">
        <v>180000</v>
      </c>
      <c r="T14" s="79">
        <v>83280</v>
      </c>
    </row>
    <row r="15" spans="1:20">
      <c r="A15" s="223" t="s">
        <v>265</v>
      </c>
      <c r="B15" s="83">
        <v>412109</v>
      </c>
      <c r="C15" s="79">
        <v>5000</v>
      </c>
      <c r="D15" s="79">
        <v>0</v>
      </c>
      <c r="E15" s="223" t="s">
        <v>265</v>
      </c>
      <c r="F15" s="83">
        <v>412109</v>
      </c>
      <c r="G15" s="79">
        <v>5000</v>
      </c>
      <c r="H15" s="79">
        <v>0</v>
      </c>
      <c r="I15" s="223" t="s">
        <v>265</v>
      </c>
      <c r="J15" s="83">
        <v>412109</v>
      </c>
      <c r="K15" s="79">
        <v>5000</v>
      </c>
      <c r="L15" s="79">
        <v>0</v>
      </c>
      <c r="M15" s="223" t="s">
        <v>265</v>
      </c>
      <c r="N15" s="83">
        <v>412109</v>
      </c>
      <c r="O15" s="79">
        <v>5000</v>
      </c>
      <c r="P15" s="79">
        <v>0</v>
      </c>
      <c r="Q15" s="223" t="s">
        <v>265</v>
      </c>
      <c r="R15" s="83">
        <v>412109</v>
      </c>
      <c r="S15" s="79">
        <v>5000</v>
      </c>
      <c r="T15" s="79">
        <v>150</v>
      </c>
    </row>
    <row r="16" spans="1:20">
      <c r="A16" s="77" t="s">
        <v>266</v>
      </c>
      <c r="B16" s="83">
        <v>412112</v>
      </c>
      <c r="C16" s="79">
        <v>3000</v>
      </c>
      <c r="D16" s="79">
        <v>180</v>
      </c>
      <c r="E16" s="77" t="s">
        <v>266</v>
      </c>
      <c r="F16" s="83">
        <v>412112</v>
      </c>
      <c r="G16" s="79">
        <v>3000</v>
      </c>
      <c r="H16" s="79">
        <v>600</v>
      </c>
      <c r="I16" s="77" t="s">
        <v>266</v>
      </c>
      <c r="J16" s="83">
        <v>412112</v>
      </c>
      <c r="K16" s="79">
        <v>3000</v>
      </c>
      <c r="L16" s="79">
        <v>900</v>
      </c>
      <c r="M16" s="77" t="s">
        <v>266</v>
      </c>
      <c r="N16" s="83">
        <v>412112</v>
      </c>
      <c r="O16" s="79">
        <v>3000</v>
      </c>
      <c r="P16" s="79">
        <v>1210</v>
      </c>
      <c r="Q16" s="77" t="s">
        <v>266</v>
      </c>
      <c r="R16" s="83">
        <v>412112</v>
      </c>
      <c r="S16" s="79">
        <v>3000</v>
      </c>
      <c r="T16" s="79">
        <v>1430</v>
      </c>
    </row>
    <row r="17" spans="1:20">
      <c r="A17" s="77" t="s">
        <v>267</v>
      </c>
      <c r="B17" s="83">
        <v>412128</v>
      </c>
      <c r="C17" s="79">
        <v>1000</v>
      </c>
      <c r="D17" s="79">
        <v>100</v>
      </c>
      <c r="E17" s="77" t="s">
        <v>267</v>
      </c>
      <c r="F17" s="83">
        <v>412128</v>
      </c>
      <c r="G17" s="79">
        <v>1000</v>
      </c>
      <c r="H17" s="79">
        <v>170</v>
      </c>
      <c r="I17" s="77" t="s">
        <v>267</v>
      </c>
      <c r="J17" s="83">
        <v>412128</v>
      </c>
      <c r="K17" s="79">
        <v>1000</v>
      </c>
      <c r="L17" s="79">
        <v>170</v>
      </c>
      <c r="M17" s="77" t="s">
        <v>267</v>
      </c>
      <c r="N17" s="83">
        <v>412128</v>
      </c>
      <c r="O17" s="79">
        <v>1000</v>
      </c>
      <c r="P17" s="79">
        <v>170</v>
      </c>
      <c r="Q17" s="77" t="s">
        <v>267</v>
      </c>
      <c r="R17" s="83">
        <v>412128</v>
      </c>
      <c r="S17" s="79">
        <v>1000</v>
      </c>
      <c r="T17" s="79">
        <v>170</v>
      </c>
    </row>
    <row r="18" spans="1:20" s="257" customFormat="1">
      <c r="A18" s="255" t="s">
        <v>354</v>
      </c>
      <c r="B18" s="256">
        <v>412199</v>
      </c>
      <c r="C18" s="152">
        <v>1000</v>
      </c>
      <c r="D18" s="152">
        <v>40</v>
      </c>
      <c r="E18" s="255" t="s">
        <v>354</v>
      </c>
      <c r="F18" s="256">
        <v>412199</v>
      </c>
      <c r="G18" s="152">
        <v>1000</v>
      </c>
      <c r="H18" s="152">
        <v>100</v>
      </c>
      <c r="I18" s="255" t="s">
        <v>354</v>
      </c>
      <c r="J18" s="256">
        <v>412199</v>
      </c>
      <c r="K18" s="152">
        <v>1000</v>
      </c>
      <c r="L18" s="152">
        <v>180</v>
      </c>
      <c r="M18" s="255" t="s">
        <v>354</v>
      </c>
      <c r="N18" s="256">
        <v>412199</v>
      </c>
      <c r="O18" s="152">
        <v>1000</v>
      </c>
      <c r="P18" s="152">
        <v>200</v>
      </c>
      <c r="Q18" s="255" t="s">
        <v>354</v>
      </c>
      <c r="R18" s="256">
        <v>412199</v>
      </c>
      <c r="S18" s="152">
        <v>1000</v>
      </c>
      <c r="T18" s="152">
        <v>300</v>
      </c>
    </row>
    <row r="19" spans="1:20">
      <c r="A19" s="77" t="s">
        <v>268</v>
      </c>
      <c r="B19" s="83">
        <v>412202</v>
      </c>
      <c r="C19" s="79">
        <v>500</v>
      </c>
      <c r="D19" s="79">
        <v>0</v>
      </c>
      <c r="E19" s="77" t="s">
        <v>268</v>
      </c>
      <c r="F19" s="83">
        <v>412202</v>
      </c>
      <c r="G19" s="79">
        <v>500</v>
      </c>
      <c r="H19" s="79">
        <v>0</v>
      </c>
      <c r="I19" s="77" t="s">
        <v>268</v>
      </c>
      <c r="J19" s="83">
        <v>412202</v>
      </c>
      <c r="K19" s="79">
        <v>500</v>
      </c>
      <c r="L19" s="79">
        <v>0</v>
      </c>
      <c r="M19" s="77" t="s">
        <v>268</v>
      </c>
      <c r="N19" s="83">
        <v>412202</v>
      </c>
      <c r="O19" s="79">
        <v>500</v>
      </c>
      <c r="P19" s="79">
        <v>0</v>
      </c>
      <c r="Q19" s="77" t="s">
        <v>268</v>
      </c>
      <c r="R19" s="83">
        <v>412202</v>
      </c>
      <c r="S19" s="79">
        <v>500</v>
      </c>
      <c r="T19" s="79">
        <v>0</v>
      </c>
    </row>
    <row r="20" spans="1:20" s="257" customFormat="1">
      <c r="A20" s="255" t="s">
        <v>269</v>
      </c>
      <c r="B20" s="256">
        <v>412210</v>
      </c>
      <c r="C20" s="152">
        <v>70000</v>
      </c>
      <c r="D20" s="152">
        <v>0</v>
      </c>
      <c r="E20" s="255" t="s">
        <v>269</v>
      </c>
      <c r="F20" s="256">
        <v>412210</v>
      </c>
      <c r="G20" s="152">
        <v>70000</v>
      </c>
      <c r="H20" s="152">
        <v>2355</v>
      </c>
      <c r="I20" s="255" t="s">
        <v>269</v>
      </c>
      <c r="J20" s="256">
        <v>412210</v>
      </c>
      <c r="K20" s="152">
        <v>70000</v>
      </c>
      <c r="L20" s="152">
        <v>4155</v>
      </c>
      <c r="M20" s="255" t="s">
        <v>269</v>
      </c>
      <c r="N20" s="256">
        <v>412210</v>
      </c>
      <c r="O20" s="152">
        <v>70000</v>
      </c>
      <c r="P20" s="152">
        <v>4155</v>
      </c>
      <c r="Q20" s="255" t="s">
        <v>269</v>
      </c>
      <c r="R20" s="256">
        <v>412210</v>
      </c>
      <c r="S20" s="152">
        <v>70000</v>
      </c>
      <c r="T20" s="152">
        <v>4155</v>
      </c>
    </row>
    <row r="21" spans="1:20">
      <c r="A21" s="77" t="s">
        <v>355</v>
      </c>
      <c r="B21" s="83">
        <v>412303</v>
      </c>
      <c r="C21" s="79">
        <v>5000</v>
      </c>
      <c r="D21" s="79">
        <v>1500</v>
      </c>
      <c r="E21" s="77" t="s">
        <v>355</v>
      </c>
      <c r="F21" s="83">
        <v>412303</v>
      </c>
      <c r="G21" s="79">
        <v>5000</v>
      </c>
      <c r="H21" s="79">
        <v>1500</v>
      </c>
      <c r="I21" s="77" t="s">
        <v>355</v>
      </c>
      <c r="J21" s="83">
        <v>412303</v>
      </c>
      <c r="K21" s="79">
        <v>5000</v>
      </c>
      <c r="L21" s="79">
        <v>2500</v>
      </c>
      <c r="M21" s="77" t="s">
        <v>355</v>
      </c>
      <c r="N21" s="83">
        <v>412303</v>
      </c>
      <c r="O21" s="79">
        <v>5000</v>
      </c>
      <c r="P21" s="79">
        <v>2900</v>
      </c>
      <c r="Q21" s="77" t="s">
        <v>355</v>
      </c>
      <c r="R21" s="83">
        <v>412303</v>
      </c>
      <c r="S21" s="79">
        <v>5000</v>
      </c>
      <c r="T21" s="79">
        <v>3100</v>
      </c>
    </row>
    <row r="22" spans="1:20">
      <c r="A22" s="77" t="s">
        <v>270</v>
      </c>
      <c r="B22" s="83">
        <v>412304</v>
      </c>
      <c r="C22" s="79">
        <v>1600</v>
      </c>
      <c r="D22" s="79">
        <v>0</v>
      </c>
      <c r="E22" s="77" t="s">
        <v>270</v>
      </c>
      <c r="F22" s="83">
        <v>412304</v>
      </c>
      <c r="G22" s="79">
        <v>1600</v>
      </c>
      <c r="H22" s="79">
        <v>0</v>
      </c>
      <c r="I22" s="77" t="s">
        <v>270</v>
      </c>
      <c r="J22" s="83">
        <v>412304</v>
      </c>
      <c r="K22" s="79">
        <v>1600</v>
      </c>
      <c r="L22" s="79">
        <v>0</v>
      </c>
      <c r="M22" s="77" t="s">
        <v>270</v>
      </c>
      <c r="N22" s="83">
        <v>412304</v>
      </c>
      <c r="O22" s="79">
        <v>1600</v>
      </c>
      <c r="P22" s="79">
        <v>0</v>
      </c>
      <c r="Q22" s="77" t="s">
        <v>270</v>
      </c>
      <c r="R22" s="83">
        <v>412304</v>
      </c>
      <c r="S22" s="79">
        <v>1600</v>
      </c>
      <c r="T22" s="79">
        <v>0</v>
      </c>
    </row>
    <row r="23" spans="1:20">
      <c r="A23" s="77" t="s">
        <v>271</v>
      </c>
      <c r="B23" s="83">
        <v>412306</v>
      </c>
      <c r="C23" s="79">
        <v>3000</v>
      </c>
      <c r="D23" s="79">
        <v>0</v>
      </c>
      <c r="E23" s="77" t="s">
        <v>271</v>
      </c>
      <c r="F23" s="83">
        <v>412306</v>
      </c>
      <c r="G23" s="79">
        <v>3000</v>
      </c>
      <c r="H23" s="79">
        <v>0</v>
      </c>
      <c r="I23" s="77" t="s">
        <v>271</v>
      </c>
      <c r="J23" s="83">
        <v>412306</v>
      </c>
      <c r="K23" s="79">
        <v>3000</v>
      </c>
      <c r="L23" s="79">
        <v>0</v>
      </c>
      <c r="M23" s="77" t="s">
        <v>271</v>
      </c>
      <c r="N23" s="83">
        <v>412306</v>
      </c>
      <c r="O23" s="79">
        <v>3000</v>
      </c>
      <c r="P23" s="79">
        <v>0</v>
      </c>
      <c r="Q23" s="77" t="s">
        <v>271</v>
      </c>
      <c r="R23" s="83">
        <v>412306</v>
      </c>
      <c r="S23" s="79">
        <v>3000</v>
      </c>
      <c r="T23" s="79">
        <v>0</v>
      </c>
    </row>
    <row r="24" spans="1:20">
      <c r="A24" s="77" t="s">
        <v>356</v>
      </c>
      <c r="B24" s="83">
        <v>412307</v>
      </c>
      <c r="C24" s="79">
        <v>2000</v>
      </c>
      <c r="D24" s="79">
        <v>71.75</v>
      </c>
      <c r="E24" s="77" t="s">
        <v>356</v>
      </c>
      <c r="F24" s="83">
        <v>412307</v>
      </c>
      <c r="G24" s="79">
        <v>2000</v>
      </c>
      <c r="H24" s="79">
        <v>176.15</v>
      </c>
      <c r="I24" s="77" t="s">
        <v>356</v>
      </c>
      <c r="J24" s="83">
        <v>412307</v>
      </c>
      <c r="K24" s="79">
        <v>2000</v>
      </c>
      <c r="L24" s="79">
        <v>518.5</v>
      </c>
      <c r="M24" s="77" t="s">
        <v>356</v>
      </c>
      <c r="N24" s="83">
        <v>412307</v>
      </c>
      <c r="O24" s="79">
        <v>2000</v>
      </c>
      <c r="P24" s="79">
        <v>607.5</v>
      </c>
      <c r="Q24" s="77" t="s">
        <v>356</v>
      </c>
      <c r="R24" s="83">
        <v>412307</v>
      </c>
      <c r="S24" s="79">
        <v>2000</v>
      </c>
      <c r="T24" s="79">
        <v>687.22</v>
      </c>
    </row>
    <row r="25" spans="1:20" s="73" customFormat="1">
      <c r="A25" s="81" t="s">
        <v>17</v>
      </c>
      <c r="B25" s="82"/>
      <c r="C25" s="21">
        <f>SUM(C13:C24)</f>
        <v>272200</v>
      </c>
      <c r="D25" s="21">
        <f>SUM(D13:D24)</f>
        <v>22491.75</v>
      </c>
      <c r="E25" s="81" t="s">
        <v>17</v>
      </c>
      <c r="F25" s="82"/>
      <c r="G25" s="21">
        <f>SUM(G13:G24)</f>
        <v>272200</v>
      </c>
      <c r="H25" s="21">
        <f>SUM(H13:H24)</f>
        <v>41421.15</v>
      </c>
      <c r="I25" s="81" t="s">
        <v>17</v>
      </c>
      <c r="J25" s="82"/>
      <c r="K25" s="21">
        <f>SUM(K13:K24)</f>
        <v>272200</v>
      </c>
      <c r="L25" s="21">
        <f>SUM(L13:L24)</f>
        <v>64963.5</v>
      </c>
      <c r="M25" s="81" t="s">
        <v>17</v>
      </c>
      <c r="N25" s="82"/>
      <c r="O25" s="21">
        <f>SUM(O13:O24)</f>
        <v>272200</v>
      </c>
      <c r="P25" s="21">
        <f>SUM(P13:P24)</f>
        <v>80281.899999999994</v>
      </c>
      <c r="Q25" s="81" t="s">
        <v>17</v>
      </c>
      <c r="R25" s="82"/>
      <c r="S25" s="21">
        <f>SUM(S13:S24)</f>
        <v>272200</v>
      </c>
      <c r="T25" s="21">
        <f>SUM(T13:T24)</f>
        <v>94028.82</v>
      </c>
    </row>
    <row r="26" spans="1:20" s="73" customFormat="1">
      <c r="A26" s="151" t="s">
        <v>78</v>
      </c>
      <c r="B26" s="82">
        <v>413000</v>
      </c>
      <c r="C26" s="150"/>
      <c r="D26" s="150"/>
      <c r="E26" s="151" t="s">
        <v>78</v>
      </c>
      <c r="F26" s="82">
        <v>413000</v>
      </c>
      <c r="G26" s="150"/>
      <c r="H26" s="150"/>
      <c r="I26" s="151" t="s">
        <v>78</v>
      </c>
      <c r="J26" s="82">
        <v>413000</v>
      </c>
      <c r="K26" s="150"/>
      <c r="L26" s="150"/>
      <c r="M26" s="151" t="s">
        <v>78</v>
      </c>
      <c r="N26" s="82">
        <v>413000</v>
      </c>
      <c r="O26" s="150"/>
      <c r="P26" s="150"/>
      <c r="Q26" s="151" t="s">
        <v>78</v>
      </c>
      <c r="R26" s="82">
        <v>413000</v>
      </c>
      <c r="S26" s="150"/>
      <c r="T26" s="150"/>
    </row>
    <row r="27" spans="1:20">
      <c r="A27" s="77" t="s">
        <v>127</v>
      </c>
      <c r="B27" s="83">
        <v>413002</v>
      </c>
      <c r="C27" s="79">
        <v>500</v>
      </c>
      <c r="D27" s="79">
        <f>SUM(งบดุลบัญชี!H74)</f>
        <v>0</v>
      </c>
      <c r="E27" s="77" t="s">
        <v>127</v>
      </c>
      <c r="F27" s="83">
        <v>413002</v>
      </c>
      <c r="G27" s="79">
        <v>500</v>
      </c>
      <c r="H27" s="79">
        <f>SUM(งบดุลบัญชี!L74)</f>
        <v>0</v>
      </c>
      <c r="I27" s="77" t="s">
        <v>127</v>
      </c>
      <c r="J27" s="83">
        <v>413002</v>
      </c>
      <c r="K27" s="79">
        <v>500</v>
      </c>
      <c r="L27" s="79">
        <f>SUM(งบดุลบัญชี!P74)</f>
        <v>0</v>
      </c>
      <c r="M27" s="77" t="s">
        <v>127</v>
      </c>
      <c r="N27" s="83">
        <v>413002</v>
      </c>
      <c r="O27" s="79">
        <v>500</v>
      </c>
      <c r="P27" s="79">
        <f>SUM(งบดุลบัญชี!T74)</f>
        <v>0</v>
      </c>
      <c r="Q27" s="77" t="s">
        <v>127</v>
      </c>
      <c r="R27" s="83">
        <v>413002</v>
      </c>
      <c r="S27" s="79">
        <v>500</v>
      </c>
      <c r="T27" s="79">
        <f>SUM(งบดุลบัญชี!X74)</f>
        <v>0</v>
      </c>
    </row>
    <row r="28" spans="1:20">
      <c r="A28" s="77" t="s">
        <v>128</v>
      </c>
      <c r="B28" s="83">
        <v>413003</v>
      </c>
      <c r="C28" s="79">
        <v>300000</v>
      </c>
      <c r="D28" s="79">
        <f>SUM(งบดุลบัญชี!H75)</f>
        <v>0</v>
      </c>
      <c r="E28" s="77" t="s">
        <v>128</v>
      </c>
      <c r="F28" s="83">
        <v>413003</v>
      </c>
      <c r="G28" s="79">
        <v>300000</v>
      </c>
      <c r="H28" s="79">
        <f>SUM(งบดุลบัญชี!L75)</f>
        <v>0</v>
      </c>
      <c r="I28" s="77" t="s">
        <v>128</v>
      </c>
      <c r="J28" s="83">
        <v>413003</v>
      </c>
      <c r="K28" s="79">
        <v>300000</v>
      </c>
      <c r="L28" s="79">
        <f>SUM(งบดุลบัญชี!P75)</f>
        <v>0</v>
      </c>
      <c r="M28" s="77" t="s">
        <v>128</v>
      </c>
      <c r="N28" s="83">
        <v>413003</v>
      </c>
      <c r="O28" s="79">
        <v>300000</v>
      </c>
      <c r="P28" s="79">
        <v>100021.11</v>
      </c>
      <c r="Q28" s="77" t="s">
        <v>128</v>
      </c>
      <c r="R28" s="83">
        <v>413003</v>
      </c>
      <c r="S28" s="79">
        <v>300000</v>
      </c>
      <c r="T28" s="79">
        <v>100021.11</v>
      </c>
    </row>
    <row r="29" spans="1:20">
      <c r="A29" s="77" t="s">
        <v>129</v>
      </c>
      <c r="B29" s="83">
        <v>413003</v>
      </c>
      <c r="C29" s="79">
        <v>0</v>
      </c>
      <c r="D29" s="79">
        <f>SUM(งบดุลบัญชี!H76)</f>
        <v>0</v>
      </c>
      <c r="E29" s="77" t="s">
        <v>129</v>
      </c>
      <c r="F29" s="83">
        <v>413003</v>
      </c>
      <c r="G29" s="79">
        <v>0</v>
      </c>
      <c r="H29" s="79">
        <f>SUM(งบดุลบัญชี!L76)</f>
        <v>0</v>
      </c>
      <c r="I29" s="77" t="s">
        <v>129</v>
      </c>
      <c r="J29" s="83">
        <v>413003</v>
      </c>
      <c r="K29" s="79">
        <v>0</v>
      </c>
      <c r="L29" s="79">
        <f>SUM(งบดุลบัญชี!P76)</f>
        <v>0</v>
      </c>
      <c r="M29" s="77" t="s">
        <v>129</v>
      </c>
      <c r="N29" s="83">
        <v>413003</v>
      </c>
      <c r="O29" s="79">
        <v>0</v>
      </c>
      <c r="P29" s="79">
        <v>0</v>
      </c>
      <c r="Q29" s="77" t="s">
        <v>129</v>
      </c>
      <c r="R29" s="83">
        <v>413003</v>
      </c>
      <c r="S29" s="79">
        <v>0</v>
      </c>
      <c r="T29" s="79">
        <v>0</v>
      </c>
    </row>
    <row r="30" spans="1:20" s="73" customFormat="1">
      <c r="A30" s="81" t="s">
        <v>17</v>
      </c>
      <c r="B30" s="82"/>
      <c r="C30" s="21">
        <f>SUM(C27:C29)</f>
        <v>300500</v>
      </c>
      <c r="D30" s="21">
        <f>SUM(D27:D29)</f>
        <v>0</v>
      </c>
      <c r="E30" s="81" t="s">
        <v>17</v>
      </c>
      <c r="F30" s="82"/>
      <c r="G30" s="21">
        <f>SUM(G27:G29)</f>
        <v>300500</v>
      </c>
      <c r="H30" s="21">
        <f>SUM(H27:H29)</f>
        <v>0</v>
      </c>
      <c r="I30" s="81" t="s">
        <v>17</v>
      </c>
      <c r="J30" s="82"/>
      <c r="K30" s="21">
        <f>SUM(K27:K29)</f>
        <v>300500</v>
      </c>
      <c r="L30" s="21">
        <f>SUM(L27:L29)</f>
        <v>0</v>
      </c>
      <c r="M30" s="81" t="s">
        <v>17</v>
      </c>
      <c r="N30" s="82"/>
      <c r="O30" s="21">
        <f>SUM(O27:O29)</f>
        <v>300500</v>
      </c>
      <c r="P30" s="21">
        <f>SUM(P27:P29)</f>
        <v>100021.11</v>
      </c>
      <c r="Q30" s="81" t="s">
        <v>17</v>
      </c>
      <c r="R30" s="82"/>
      <c r="S30" s="21">
        <f>SUM(S27:S29)</f>
        <v>300500</v>
      </c>
      <c r="T30" s="21">
        <f>SUM(T27:T29)</f>
        <v>100021.11</v>
      </c>
    </row>
    <row r="31" spans="1:20" s="73" customFormat="1">
      <c r="A31" s="151" t="s">
        <v>81</v>
      </c>
      <c r="B31" s="82"/>
      <c r="C31" s="150"/>
      <c r="D31" s="150"/>
      <c r="E31" s="151" t="s">
        <v>81</v>
      </c>
      <c r="F31" s="82"/>
      <c r="G31" s="150"/>
      <c r="H31" s="150"/>
      <c r="I31" s="151" t="s">
        <v>81</v>
      </c>
      <c r="J31" s="82"/>
      <c r="K31" s="150"/>
      <c r="L31" s="150"/>
      <c r="M31" s="151" t="s">
        <v>81</v>
      </c>
      <c r="N31" s="82"/>
      <c r="O31" s="150"/>
      <c r="P31" s="150"/>
      <c r="Q31" s="151" t="s">
        <v>81</v>
      </c>
      <c r="R31" s="82"/>
      <c r="S31" s="150"/>
      <c r="T31" s="150"/>
    </row>
    <row r="32" spans="1:20">
      <c r="A32" s="77" t="s">
        <v>353</v>
      </c>
      <c r="B32" s="83">
        <v>414999</v>
      </c>
      <c r="C32" s="79">
        <v>300000</v>
      </c>
      <c r="D32" s="152">
        <v>21545</v>
      </c>
      <c r="E32" s="77" t="s">
        <v>353</v>
      </c>
      <c r="F32" s="83">
        <v>414999</v>
      </c>
      <c r="G32" s="79">
        <v>300000</v>
      </c>
      <c r="H32" s="152">
        <v>53080</v>
      </c>
      <c r="I32" s="77" t="s">
        <v>353</v>
      </c>
      <c r="J32" s="83">
        <v>414999</v>
      </c>
      <c r="K32" s="79">
        <v>300000</v>
      </c>
      <c r="L32" s="152">
        <v>72715</v>
      </c>
      <c r="M32" s="77" t="s">
        <v>353</v>
      </c>
      <c r="N32" s="83">
        <v>414999</v>
      </c>
      <c r="O32" s="79">
        <v>300000</v>
      </c>
      <c r="P32" s="152">
        <v>102635</v>
      </c>
      <c r="Q32" s="77" t="s">
        <v>353</v>
      </c>
      <c r="R32" s="83">
        <v>414999</v>
      </c>
      <c r="S32" s="79">
        <v>300000</v>
      </c>
      <c r="T32" s="152">
        <v>121145</v>
      </c>
    </row>
    <row r="33" spans="1:20" s="73" customFormat="1">
      <c r="A33" s="81" t="s">
        <v>17</v>
      </c>
      <c r="B33" s="82"/>
      <c r="C33" s="21">
        <f>SUM(C32)</f>
        <v>300000</v>
      </c>
      <c r="D33" s="21">
        <f>SUM(D32)</f>
        <v>21545</v>
      </c>
      <c r="E33" s="81" t="s">
        <v>17</v>
      </c>
      <c r="F33" s="82"/>
      <c r="G33" s="21">
        <f>SUM(G32)</f>
        <v>300000</v>
      </c>
      <c r="H33" s="21">
        <f>SUM(H32)</f>
        <v>53080</v>
      </c>
      <c r="I33" s="81" t="s">
        <v>17</v>
      </c>
      <c r="J33" s="82"/>
      <c r="K33" s="21">
        <f>SUM(K32)</f>
        <v>300000</v>
      </c>
      <c r="L33" s="21">
        <f>SUM(L32)</f>
        <v>72715</v>
      </c>
      <c r="M33" s="81" t="s">
        <v>17</v>
      </c>
      <c r="N33" s="82"/>
      <c r="O33" s="21">
        <f>SUM(O32)</f>
        <v>300000</v>
      </c>
      <c r="P33" s="21">
        <f>SUM(P32)</f>
        <v>102635</v>
      </c>
      <c r="Q33" s="81" t="s">
        <v>17</v>
      </c>
      <c r="R33" s="82"/>
      <c r="S33" s="21">
        <f>SUM(S32)</f>
        <v>300000</v>
      </c>
      <c r="T33" s="21">
        <f>SUM(T32)</f>
        <v>121145</v>
      </c>
    </row>
    <row r="34" spans="1:20" s="73" customFormat="1">
      <c r="A34" s="151" t="s">
        <v>82</v>
      </c>
      <c r="B34" s="82">
        <v>415000</v>
      </c>
      <c r="C34" s="150"/>
      <c r="D34" s="150"/>
      <c r="E34" s="151" t="s">
        <v>82</v>
      </c>
      <c r="F34" s="82">
        <v>415000</v>
      </c>
      <c r="G34" s="150"/>
      <c r="H34" s="150"/>
      <c r="I34" s="151" t="s">
        <v>82</v>
      </c>
      <c r="J34" s="82">
        <v>415000</v>
      </c>
      <c r="K34" s="150"/>
      <c r="L34" s="150"/>
      <c r="M34" s="151" t="s">
        <v>82</v>
      </c>
      <c r="N34" s="82">
        <v>415000</v>
      </c>
      <c r="O34" s="150"/>
      <c r="P34" s="150"/>
      <c r="Q34" s="151" t="s">
        <v>82</v>
      </c>
      <c r="R34" s="82">
        <v>415000</v>
      </c>
      <c r="S34" s="150"/>
      <c r="T34" s="150"/>
    </row>
    <row r="35" spans="1:20">
      <c r="A35" s="77" t="s">
        <v>130</v>
      </c>
      <c r="B35" s="83">
        <v>415004</v>
      </c>
      <c r="C35" s="79">
        <v>50000</v>
      </c>
      <c r="D35" s="79">
        <v>0</v>
      </c>
      <c r="E35" s="77" t="s">
        <v>130</v>
      </c>
      <c r="F35" s="83">
        <v>415004</v>
      </c>
      <c r="G35" s="79">
        <v>50000</v>
      </c>
      <c r="H35" s="79">
        <v>29500</v>
      </c>
      <c r="I35" s="77" t="s">
        <v>130</v>
      </c>
      <c r="J35" s="83">
        <v>415004</v>
      </c>
      <c r="K35" s="79">
        <v>50000</v>
      </c>
      <c r="L35" s="79">
        <v>34500</v>
      </c>
      <c r="M35" s="77" t="s">
        <v>130</v>
      </c>
      <c r="N35" s="83">
        <v>415004</v>
      </c>
      <c r="O35" s="79">
        <v>50000</v>
      </c>
      <c r="P35" s="79">
        <v>34500</v>
      </c>
      <c r="Q35" s="77" t="s">
        <v>130</v>
      </c>
      <c r="R35" s="83">
        <v>415004</v>
      </c>
      <c r="S35" s="79">
        <v>50000</v>
      </c>
      <c r="T35" s="79">
        <v>34500</v>
      </c>
    </row>
    <row r="36" spans="1:20" s="257" customFormat="1">
      <c r="A36" s="255" t="s">
        <v>251</v>
      </c>
      <c r="B36" s="256">
        <v>415999</v>
      </c>
      <c r="C36" s="152">
        <v>10000</v>
      </c>
      <c r="D36" s="152">
        <v>108</v>
      </c>
      <c r="E36" s="255" t="s">
        <v>251</v>
      </c>
      <c r="F36" s="256">
        <v>415999</v>
      </c>
      <c r="G36" s="152">
        <v>10000</v>
      </c>
      <c r="H36" s="152">
        <v>1148</v>
      </c>
      <c r="I36" s="255" t="s">
        <v>251</v>
      </c>
      <c r="J36" s="256">
        <v>415999</v>
      </c>
      <c r="K36" s="152">
        <v>10000</v>
      </c>
      <c r="L36" s="152">
        <v>2708</v>
      </c>
      <c r="M36" s="255" t="s">
        <v>251</v>
      </c>
      <c r="N36" s="256">
        <v>415999</v>
      </c>
      <c r="O36" s="152">
        <v>10000</v>
      </c>
      <c r="P36" s="152">
        <v>4918</v>
      </c>
      <c r="Q36" s="255" t="s">
        <v>251</v>
      </c>
      <c r="R36" s="256">
        <v>415999</v>
      </c>
      <c r="S36" s="152">
        <v>10000</v>
      </c>
      <c r="T36" s="152">
        <v>203350.92</v>
      </c>
    </row>
    <row r="37" spans="1:20" s="73" customFormat="1">
      <c r="A37" s="81" t="s">
        <v>17</v>
      </c>
      <c r="B37" s="82"/>
      <c r="C37" s="21">
        <f>SUM(C35:C36)</f>
        <v>60000</v>
      </c>
      <c r="D37" s="21">
        <f>SUM(D35:D36)</f>
        <v>108</v>
      </c>
      <c r="E37" s="81" t="s">
        <v>17</v>
      </c>
      <c r="F37" s="82"/>
      <c r="G37" s="21">
        <f>SUM(G35:G36)</f>
        <v>60000</v>
      </c>
      <c r="H37" s="21">
        <f>SUM(H35:H36)</f>
        <v>30648</v>
      </c>
      <c r="I37" s="81" t="s">
        <v>17</v>
      </c>
      <c r="J37" s="82"/>
      <c r="K37" s="21">
        <f>SUM(K35:K36)</f>
        <v>60000</v>
      </c>
      <c r="L37" s="21">
        <f>SUM(L35:L36)</f>
        <v>37208</v>
      </c>
      <c r="M37" s="81" t="s">
        <v>17</v>
      </c>
      <c r="N37" s="82"/>
      <c r="O37" s="21">
        <f>SUM(O35:O36)</f>
        <v>60000</v>
      </c>
      <c r="P37" s="21">
        <f>SUM(P35:P36)</f>
        <v>39418</v>
      </c>
      <c r="Q37" s="81" t="s">
        <v>17</v>
      </c>
      <c r="R37" s="82"/>
      <c r="S37" s="21">
        <f>SUM(S35:S36)</f>
        <v>60000</v>
      </c>
      <c r="T37" s="21">
        <f>SUM(T35:T36)</f>
        <v>237850.92</v>
      </c>
    </row>
    <row r="38" spans="1:20" s="73" customFormat="1">
      <c r="A38" s="151" t="s">
        <v>84</v>
      </c>
      <c r="B38" s="82">
        <v>416000</v>
      </c>
      <c r="C38" s="150"/>
      <c r="D38" s="150"/>
      <c r="E38" s="151" t="s">
        <v>84</v>
      </c>
      <c r="F38" s="82">
        <v>416000</v>
      </c>
      <c r="G38" s="150"/>
      <c r="H38" s="150"/>
      <c r="I38" s="151" t="s">
        <v>84</v>
      </c>
      <c r="J38" s="82">
        <v>416000</v>
      </c>
      <c r="K38" s="150"/>
      <c r="L38" s="150"/>
      <c r="M38" s="151" t="s">
        <v>84</v>
      </c>
      <c r="N38" s="82">
        <v>416000</v>
      </c>
      <c r="O38" s="150"/>
      <c r="P38" s="150"/>
      <c r="Q38" s="151" t="s">
        <v>84</v>
      </c>
      <c r="R38" s="82">
        <v>416000</v>
      </c>
      <c r="S38" s="150"/>
      <c r="T38" s="150"/>
    </row>
    <row r="39" spans="1:20">
      <c r="A39" s="77" t="s">
        <v>131</v>
      </c>
      <c r="B39" s="83">
        <v>416001</v>
      </c>
      <c r="C39" s="79">
        <v>15000</v>
      </c>
      <c r="D39" s="79">
        <v>0</v>
      </c>
      <c r="E39" s="77" t="s">
        <v>131</v>
      </c>
      <c r="F39" s="83">
        <v>416001</v>
      </c>
      <c r="G39" s="79">
        <v>15000</v>
      </c>
      <c r="H39" s="79">
        <v>0</v>
      </c>
      <c r="I39" s="77" t="s">
        <v>131</v>
      </c>
      <c r="J39" s="83">
        <v>416001</v>
      </c>
      <c r="K39" s="79">
        <v>15000</v>
      </c>
      <c r="L39" s="79">
        <v>0</v>
      </c>
      <c r="M39" s="77" t="s">
        <v>131</v>
      </c>
      <c r="N39" s="83">
        <v>416001</v>
      </c>
      <c r="O39" s="79">
        <v>15000</v>
      </c>
      <c r="P39" s="79">
        <v>0</v>
      </c>
      <c r="Q39" s="77" t="s">
        <v>131</v>
      </c>
      <c r="R39" s="83">
        <v>416001</v>
      </c>
      <c r="S39" s="79">
        <v>15000</v>
      </c>
      <c r="T39" s="79">
        <v>0</v>
      </c>
    </row>
    <row r="40" spans="1:20" s="73" customFormat="1">
      <c r="A40" s="153" t="s">
        <v>17</v>
      </c>
      <c r="B40" s="154"/>
      <c r="C40" s="21">
        <f>SUM(C39)</f>
        <v>15000</v>
      </c>
      <c r="D40" s="21">
        <f>SUM(D39)</f>
        <v>0</v>
      </c>
      <c r="E40" s="153" t="s">
        <v>17</v>
      </c>
      <c r="F40" s="154"/>
      <c r="G40" s="21">
        <f>SUM(G39)</f>
        <v>15000</v>
      </c>
      <c r="H40" s="21">
        <f>SUM(H39)</f>
        <v>0</v>
      </c>
      <c r="I40" s="153" t="s">
        <v>17</v>
      </c>
      <c r="J40" s="154"/>
      <c r="K40" s="21">
        <f>SUM(K39)</f>
        <v>15000</v>
      </c>
      <c r="L40" s="21">
        <f>SUM(L39)</f>
        <v>0</v>
      </c>
      <c r="M40" s="153" t="s">
        <v>17</v>
      </c>
      <c r="N40" s="154"/>
      <c r="O40" s="21">
        <f>SUM(O39)</f>
        <v>15000</v>
      </c>
      <c r="P40" s="21">
        <f>SUM(P39)</f>
        <v>0</v>
      </c>
      <c r="Q40" s="153" t="s">
        <v>17</v>
      </c>
      <c r="R40" s="154"/>
      <c r="S40" s="21">
        <f>SUM(S39)</f>
        <v>15000</v>
      </c>
      <c r="T40" s="21">
        <f>SUM(T39)</f>
        <v>0</v>
      </c>
    </row>
    <row r="41" spans="1:20" s="73" customFormat="1">
      <c r="A41" s="128"/>
      <c r="B41" s="128"/>
      <c r="C41" s="155"/>
      <c r="D41" s="155"/>
      <c r="E41" s="337"/>
      <c r="F41" s="337"/>
      <c r="G41" s="155"/>
      <c r="H41" s="155"/>
      <c r="I41" s="346"/>
      <c r="J41" s="346"/>
      <c r="K41" s="155"/>
      <c r="L41" s="155"/>
      <c r="M41" s="357"/>
      <c r="N41" s="357"/>
      <c r="O41" s="155"/>
      <c r="P41" s="155"/>
      <c r="Q41" s="367"/>
      <c r="R41" s="367"/>
      <c r="S41" s="155"/>
      <c r="T41" s="155"/>
    </row>
    <row r="42" spans="1:20" s="73" customFormat="1">
      <c r="A42" s="128"/>
      <c r="B42" s="128"/>
      <c r="C42" s="156"/>
      <c r="D42" s="72"/>
      <c r="E42" s="337"/>
      <c r="F42" s="337"/>
      <c r="G42" s="156"/>
      <c r="H42" s="72"/>
      <c r="I42" s="346"/>
      <c r="J42" s="346"/>
      <c r="K42" s="156"/>
      <c r="L42" s="72"/>
      <c r="M42" s="357"/>
      <c r="N42" s="357"/>
      <c r="O42" s="156"/>
      <c r="P42" s="72"/>
      <c r="Q42" s="367"/>
      <c r="R42" s="367"/>
      <c r="S42" s="156"/>
      <c r="T42" s="72"/>
    </row>
    <row r="43" spans="1:20" s="180" customFormat="1">
      <c r="A43" s="179" t="s">
        <v>0</v>
      </c>
      <c r="B43" s="125" t="s">
        <v>109</v>
      </c>
      <c r="C43" s="125" t="s">
        <v>16</v>
      </c>
      <c r="D43" s="125" t="s">
        <v>123</v>
      </c>
      <c r="E43" s="274" t="s">
        <v>0</v>
      </c>
      <c r="F43" s="125" t="s">
        <v>109</v>
      </c>
      <c r="G43" s="125" t="s">
        <v>16</v>
      </c>
      <c r="H43" s="125" t="s">
        <v>123</v>
      </c>
      <c r="I43" s="274" t="s">
        <v>0</v>
      </c>
      <c r="J43" s="125" t="s">
        <v>109</v>
      </c>
      <c r="K43" s="125" t="s">
        <v>16</v>
      </c>
      <c r="L43" s="125" t="s">
        <v>123</v>
      </c>
      <c r="M43" s="274" t="s">
        <v>0</v>
      </c>
      <c r="N43" s="125" t="s">
        <v>109</v>
      </c>
      <c r="O43" s="125" t="s">
        <v>16</v>
      </c>
      <c r="P43" s="125" t="s">
        <v>123</v>
      </c>
      <c r="Q43" s="274" t="s">
        <v>0</v>
      </c>
      <c r="R43" s="125" t="s">
        <v>109</v>
      </c>
      <c r="S43" s="125" t="s">
        <v>16</v>
      </c>
      <c r="T43" s="125" t="s">
        <v>123</v>
      </c>
    </row>
    <row r="44" spans="1:20" s="73" customFormat="1">
      <c r="A44" s="151" t="s">
        <v>86</v>
      </c>
      <c r="B44" s="82">
        <v>420000</v>
      </c>
      <c r="C44" s="150"/>
      <c r="D44" s="150"/>
      <c r="E44" s="151" t="s">
        <v>86</v>
      </c>
      <c r="F44" s="82">
        <v>420000</v>
      </c>
      <c r="G44" s="150"/>
      <c r="H44" s="150"/>
      <c r="I44" s="151" t="s">
        <v>86</v>
      </c>
      <c r="J44" s="82">
        <v>420000</v>
      </c>
      <c r="K44" s="150"/>
      <c r="L44" s="150"/>
      <c r="M44" s="151" t="s">
        <v>86</v>
      </c>
      <c r="N44" s="82">
        <v>420000</v>
      </c>
      <c r="O44" s="150"/>
      <c r="P44" s="150"/>
      <c r="Q44" s="151" t="s">
        <v>86</v>
      </c>
      <c r="R44" s="82">
        <v>420000</v>
      </c>
      <c r="S44" s="150"/>
      <c r="T44" s="150"/>
    </row>
    <row r="45" spans="1:20" s="73" customFormat="1">
      <c r="A45" s="151" t="s">
        <v>87</v>
      </c>
      <c r="B45" s="82">
        <v>421000</v>
      </c>
      <c r="C45" s="150"/>
      <c r="D45" s="150"/>
      <c r="E45" s="151" t="s">
        <v>87</v>
      </c>
      <c r="F45" s="82">
        <v>421000</v>
      </c>
      <c r="G45" s="150"/>
      <c r="H45" s="150"/>
      <c r="I45" s="151" t="s">
        <v>87</v>
      </c>
      <c r="J45" s="82">
        <v>421000</v>
      </c>
      <c r="K45" s="150"/>
      <c r="L45" s="150"/>
      <c r="M45" s="151" t="s">
        <v>87</v>
      </c>
      <c r="N45" s="82">
        <v>421000</v>
      </c>
      <c r="O45" s="150"/>
      <c r="P45" s="150"/>
      <c r="Q45" s="151" t="s">
        <v>87</v>
      </c>
      <c r="R45" s="82">
        <v>421000</v>
      </c>
      <c r="S45" s="150"/>
      <c r="T45" s="150"/>
    </row>
    <row r="46" spans="1:20">
      <c r="A46" s="77" t="s">
        <v>357</v>
      </c>
      <c r="B46" s="83">
        <v>421002</v>
      </c>
      <c r="C46" s="79">
        <v>8000000</v>
      </c>
      <c r="D46" s="79">
        <v>647500.93999999994</v>
      </c>
      <c r="E46" s="77" t="s">
        <v>357</v>
      </c>
      <c r="F46" s="83">
        <v>421002</v>
      </c>
      <c r="G46" s="79">
        <v>8000000</v>
      </c>
      <c r="H46" s="79">
        <v>1297708.42</v>
      </c>
      <c r="I46" s="77" t="s">
        <v>357</v>
      </c>
      <c r="J46" s="83">
        <v>421002</v>
      </c>
      <c r="K46" s="79">
        <v>8000000</v>
      </c>
      <c r="L46" s="79">
        <v>1956828.66</v>
      </c>
      <c r="M46" s="77" t="s">
        <v>357</v>
      </c>
      <c r="N46" s="83">
        <v>421002</v>
      </c>
      <c r="O46" s="79">
        <v>8000000</v>
      </c>
      <c r="P46" s="79">
        <v>1956828.66</v>
      </c>
      <c r="Q46" s="77" t="s">
        <v>357</v>
      </c>
      <c r="R46" s="83">
        <v>421002</v>
      </c>
      <c r="S46" s="79">
        <v>8000000</v>
      </c>
      <c r="T46" s="79">
        <v>2855463.67</v>
      </c>
    </row>
    <row r="47" spans="1:20">
      <c r="A47" s="77" t="s">
        <v>358</v>
      </c>
      <c r="B47" s="83">
        <v>421004</v>
      </c>
      <c r="C47" s="79">
        <v>3300000</v>
      </c>
      <c r="D47" s="79">
        <v>240718.53</v>
      </c>
      <c r="E47" s="77" t="s">
        <v>358</v>
      </c>
      <c r="F47" s="83">
        <v>421004</v>
      </c>
      <c r="G47" s="79">
        <v>3300000</v>
      </c>
      <c r="H47" s="79">
        <v>518506.86</v>
      </c>
      <c r="I47" s="77" t="s">
        <v>358</v>
      </c>
      <c r="J47" s="83">
        <v>421004</v>
      </c>
      <c r="K47" s="79">
        <v>3300000</v>
      </c>
      <c r="L47" s="79">
        <v>789952.11</v>
      </c>
      <c r="M47" s="77" t="s">
        <v>358</v>
      </c>
      <c r="N47" s="83">
        <v>421004</v>
      </c>
      <c r="O47" s="79">
        <v>3300000</v>
      </c>
      <c r="P47" s="79">
        <v>1060841.3799999999</v>
      </c>
      <c r="Q47" s="77" t="s">
        <v>358</v>
      </c>
      <c r="R47" s="83">
        <v>421004</v>
      </c>
      <c r="S47" s="79">
        <v>3300000</v>
      </c>
      <c r="T47" s="79">
        <v>1060841.3799999999</v>
      </c>
    </row>
    <row r="48" spans="1:20">
      <c r="A48" s="77" t="s">
        <v>132</v>
      </c>
      <c r="B48" s="83">
        <v>421005</v>
      </c>
      <c r="C48" s="79">
        <v>150000</v>
      </c>
      <c r="D48" s="79">
        <v>0</v>
      </c>
      <c r="E48" s="77" t="s">
        <v>132</v>
      </c>
      <c r="F48" s="83">
        <v>421005</v>
      </c>
      <c r="G48" s="79">
        <v>150000</v>
      </c>
      <c r="H48" s="79">
        <v>0</v>
      </c>
      <c r="I48" s="77" t="s">
        <v>132</v>
      </c>
      <c r="J48" s="83">
        <v>421005</v>
      </c>
      <c r="K48" s="79">
        <v>150000</v>
      </c>
      <c r="L48" s="79">
        <v>0</v>
      </c>
      <c r="M48" s="77" t="s">
        <v>132</v>
      </c>
      <c r="N48" s="83">
        <v>421005</v>
      </c>
      <c r="O48" s="79">
        <v>150000</v>
      </c>
      <c r="P48" s="79">
        <v>28733.759999999998</v>
      </c>
      <c r="Q48" s="77" t="s">
        <v>132</v>
      </c>
      <c r="R48" s="83">
        <v>421005</v>
      </c>
      <c r="S48" s="79">
        <v>150000</v>
      </c>
      <c r="T48" s="79">
        <v>28733.759999999998</v>
      </c>
    </row>
    <row r="49" spans="1:20">
      <c r="A49" s="77" t="s">
        <v>133</v>
      </c>
      <c r="B49" s="83">
        <v>421006</v>
      </c>
      <c r="C49" s="79">
        <v>1500000</v>
      </c>
      <c r="D49" s="79">
        <v>114004.59</v>
      </c>
      <c r="E49" s="77" t="s">
        <v>133</v>
      </c>
      <c r="F49" s="83">
        <v>421006</v>
      </c>
      <c r="G49" s="79">
        <v>1500000</v>
      </c>
      <c r="H49" s="79">
        <v>243745.57</v>
      </c>
      <c r="I49" s="77" t="s">
        <v>133</v>
      </c>
      <c r="J49" s="83">
        <v>421006</v>
      </c>
      <c r="K49" s="79">
        <v>1500000</v>
      </c>
      <c r="L49" s="79">
        <v>379370.06</v>
      </c>
      <c r="M49" s="77" t="s">
        <v>133</v>
      </c>
      <c r="N49" s="83">
        <v>421006</v>
      </c>
      <c r="O49" s="79">
        <v>1500000</v>
      </c>
      <c r="P49" s="79">
        <v>544742.63</v>
      </c>
      <c r="Q49" s="77" t="s">
        <v>133</v>
      </c>
      <c r="R49" s="83">
        <v>421006</v>
      </c>
      <c r="S49" s="79">
        <v>1500000</v>
      </c>
      <c r="T49" s="79">
        <v>692206.94</v>
      </c>
    </row>
    <row r="50" spans="1:20">
      <c r="A50" s="77" t="s">
        <v>134</v>
      </c>
      <c r="B50" s="83">
        <v>421007</v>
      </c>
      <c r="C50" s="79">
        <v>2350000</v>
      </c>
      <c r="D50" s="79">
        <v>246143.31</v>
      </c>
      <c r="E50" s="77" t="s">
        <v>134</v>
      </c>
      <c r="F50" s="83">
        <v>421007</v>
      </c>
      <c r="G50" s="79">
        <v>2350000</v>
      </c>
      <c r="H50" s="79">
        <v>519535.59</v>
      </c>
      <c r="I50" s="77" t="s">
        <v>134</v>
      </c>
      <c r="J50" s="83">
        <v>421007</v>
      </c>
      <c r="K50" s="79">
        <v>2350000</v>
      </c>
      <c r="L50" s="79">
        <v>774734.36</v>
      </c>
      <c r="M50" s="77" t="s">
        <v>134</v>
      </c>
      <c r="N50" s="83">
        <v>421007</v>
      </c>
      <c r="O50" s="79">
        <v>2350000</v>
      </c>
      <c r="P50" s="79">
        <v>1077794.6200000001</v>
      </c>
      <c r="Q50" s="77" t="s">
        <v>134</v>
      </c>
      <c r="R50" s="83">
        <v>421007</v>
      </c>
      <c r="S50" s="79">
        <v>2350000</v>
      </c>
      <c r="T50" s="79">
        <v>1432658.6</v>
      </c>
    </row>
    <row r="51" spans="1:20">
      <c r="A51" s="77" t="s">
        <v>135</v>
      </c>
      <c r="B51" s="83">
        <v>421012</v>
      </c>
      <c r="C51" s="79">
        <v>135000</v>
      </c>
      <c r="D51" s="79">
        <v>0</v>
      </c>
      <c r="E51" s="77" t="s">
        <v>135</v>
      </c>
      <c r="F51" s="83">
        <v>421012</v>
      </c>
      <c r="G51" s="79">
        <v>135000</v>
      </c>
      <c r="H51" s="79">
        <v>0</v>
      </c>
      <c r="I51" s="77" t="s">
        <v>135</v>
      </c>
      <c r="J51" s="83">
        <v>421012</v>
      </c>
      <c r="K51" s="79">
        <v>135000</v>
      </c>
      <c r="L51" s="79">
        <v>0</v>
      </c>
      <c r="M51" s="77" t="s">
        <v>135</v>
      </c>
      <c r="N51" s="83">
        <v>421012</v>
      </c>
      <c r="O51" s="79">
        <v>135000</v>
      </c>
      <c r="P51" s="79">
        <v>0</v>
      </c>
      <c r="Q51" s="77" t="s">
        <v>135</v>
      </c>
      <c r="R51" s="83">
        <v>421012</v>
      </c>
      <c r="S51" s="79">
        <v>135000</v>
      </c>
      <c r="T51" s="79">
        <v>30620.02</v>
      </c>
    </row>
    <row r="52" spans="1:20">
      <c r="A52" s="77" t="s">
        <v>136</v>
      </c>
      <c r="B52" s="83">
        <v>421013</v>
      </c>
      <c r="C52" s="79">
        <v>160000</v>
      </c>
      <c r="D52" s="79">
        <v>16928.57</v>
      </c>
      <c r="E52" s="77" t="s">
        <v>136</v>
      </c>
      <c r="F52" s="83">
        <v>421013</v>
      </c>
      <c r="G52" s="79">
        <v>160000</v>
      </c>
      <c r="H52" s="79">
        <v>16928.57</v>
      </c>
      <c r="I52" s="77" t="s">
        <v>136</v>
      </c>
      <c r="J52" s="83">
        <v>421013</v>
      </c>
      <c r="K52" s="79">
        <v>160000</v>
      </c>
      <c r="L52" s="79">
        <v>16928.57</v>
      </c>
      <c r="M52" s="77" t="s">
        <v>136</v>
      </c>
      <c r="N52" s="83">
        <v>421013</v>
      </c>
      <c r="O52" s="79">
        <v>160000</v>
      </c>
      <c r="P52" s="79">
        <v>16928.57</v>
      </c>
      <c r="Q52" s="77" t="s">
        <v>136</v>
      </c>
      <c r="R52" s="83">
        <v>421013</v>
      </c>
      <c r="S52" s="79">
        <v>160000</v>
      </c>
      <c r="T52" s="79">
        <v>33412.300000000003</v>
      </c>
    </row>
    <row r="53" spans="1:20">
      <c r="A53" s="77" t="s">
        <v>359</v>
      </c>
      <c r="B53" s="83">
        <v>421014</v>
      </c>
      <c r="C53" s="79">
        <v>1000</v>
      </c>
      <c r="D53" s="79">
        <v>0</v>
      </c>
      <c r="E53" s="77" t="s">
        <v>359</v>
      </c>
      <c r="F53" s="83">
        <v>421014</v>
      </c>
      <c r="G53" s="79">
        <v>1000</v>
      </c>
      <c r="H53" s="79">
        <v>0</v>
      </c>
      <c r="I53" s="77" t="s">
        <v>359</v>
      </c>
      <c r="J53" s="83">
        <v>421014</v>
      </c>
      <c r="K53" s="79">
        <v>1000</v>
      </c>
      <c r="L53" s="79">
        <v>0</v>
      </c>
      <c r="M53" s="77" t="s">
        <v>359</v>
      </c>
      <c r="N53" s="83">
        <v>421014</v>
      </c>
      <c r="O53" s="79">
        <v>1000</v>
      </c>
      <c r="P53" s="79">
        <v>0</v>
      </c>
      <c r="Q53" s="77" t="s">
        <v>359</v>
      </c>
      <c r="R53" s="83">
        <v>421014</v>
      </c>
      <c r="S53" s="79">
        <v>1000</v>
      </c>
      <c r="T53" s="79">
        <v>0</v>
      </c>
    </row>
    <row r="54" spans="1:20">
      <c r="A54" s="77" t="s">
        <v>360</v>
      </c>
      <c r="B54" s="83">
        <v>421015</v>
      </c>
      <c r="C54" s="79">
        <v>480000</v>
      </c>
      <c r="D54" s="79">
        <v>26749</v>
      </c>
      <c r="E54" s="77" t="s">
        <v>360</v>
      </c>
      <c r="F54" s="83">
        <v>421015</v>
      </c>
      <c r="G54" s="79">
        <v>480000</v>
      </c>
      <c r="H54" s="79">
        <v>68649</v>
      </c>
      <c r="I54" s="77" t="s">
        <v>360</v>
      </c>
      <c r="J54" s="83">
        <v>421015</v>
      </c>
      <c r="K54" s="79">
        <v>480000</v>
      </c>
      <c r="L54" s="79">
        <v>68649</v>
      </c>
      <c r="M54" s="77" t="s">
        <v>360</v>
      </c>
      <c r="N54" s="83">
        <v>421015</v>
      </c>
      <c r="O54" s="79">
        <v>480000</v>
      </c>
      <c r="P54" s="79">
        <v>146569</v>
      </c>
      <c r="Q54" s="77" t="s">
        <v>360</v>
      </c>
      <c r="R54" s="83">
        <v>421015</v>
      </c>
      <c r="S54" s="79">
        <v>480000</v>
      </c>
      <c r="T54" s="79">
        <v>218463</v>
      </c>
    </row>
    <row r="55" spans="1:20" s="73" customFormat="1">
      <c r="A55" s="81" t="s">
        <v>17</v>
      </c>
      <c r="B55" s="82"/>
      <c r="C55" s="21">
        <f>SUM(C46:C54)</f>
        <v>16076000</v>
      </c>
      <c r="D55" s="21">
        <f>SUM(D46:D54)</f>
        <v>1292044.94</v>
      </c>
      <c r="E55" s="81" t="s">
        <v>17</v>
      </c>
      <c r="F55" s="82"/>
      <c r="G55" s="21">
        <f>SUM(G46:G54)</f>
        <v>16076000</v>
      </c>
      <c r="H55" s="21">
        <f>SUM(H46:H54)</f>
        <v>2665074.0099999998</v>
      </c>
      <c r="I55" s="81" t="s">
        <v>17</v>
      </c>
      <c r="J55" s="82"/>
      <c r="K55" s="21">
        <f>SUM(K46:K54)</f>
        <v>16076000</v>
      </c>
      <c r="L55" s="21">
        <f>SUM(L46:L54)</f>
        <v>3986462.76</v>
      </c>
      <c r="M55" s="81" t="s">
        <v>17</v>
      </c>
      <c r="N55" s="82"/>
      <c r="O55" s="21">
        <f>SUM(O46:O54)</f>
        <v>16076000</v>
      </c>
      <c r="P55" s="21">
        <f>SUM(P46:P54)</f>
        <v>4832438.62</v>
      </c>
      <c r="Q55" s="81" t="s">
        <v>17</v>
      </c>
      <c r="R55" s="82"/>
      <c r="S55" s="21">
        <f>SUM(S46:S54)</f>
        <v>16076000</v>
      </c>
      <c r="T55" s="21">
        <f>SUM(T46:T54)</f>
        <v>6352399.669999999</v>
      </c>
    </row>
    <row r="56" spans="1:20" s="73" customFormat="1">
      <c r="A56" s="151" t="s">
        <v>88</v>
      </c>
      <c r="B56" s="82">
        <v>430000</v>
      </c>
      <c r="C56" s="150"/>
      <c r="D56" s="150"/>
      <c r="E56" s="151" t="s">
        <v>88</v>
      </c>
      <c r="F56" s="82">
        <v>430000</v>
      </c>
      <c r="G56" s="150"/>
      <c r="H56" s="150"/>
      <c r="I56" s="151" t="s">
        <v>88</v>
      </c>
      <c r="J56" s="82">
        <v>430000</v>
      </c>
      <c r="K56" s="150"/>
      <c r="L56" s="150"/>
      <c r="M56" s="151" t="s">
        <v>88</v>
      </c>
      <c r="N56" s="82">
        <v>430000</v>
      </c>
      <c r="O56" s="150"/>
      <c r="P56" s="150"/>
      <c r="Q56" s="151" t="s">
        <v>88</v>
      </c>
      <c r="R56" s="82">
        <v>430000</v>
      </c>
      <c r="S56" s="150"/>
      <c r="T56" s="150"/>
    </row>
    <row r="57" spans="1:20" s="73" customFormat="1">
      <c r="A57" s="151" t="s">
        <v>89</v>
      </c>
      <c r="B57" s="82">
        <v>431000</v>
      </c>
      <c r="C57" s="150"/>
      <c r="D57" s="150"/>
      <c r="E57" s="151" t="s">
        <v>89</v>
      </c>
      <c r="F57" s="82">
        <v>431000</v>
      </c>
      <c r="G57" s="150"/>
      <c r="H57" s="150"/>
      <c r="I57" s="151" t="s">
        <v>89</v>
      </c>
      <c r="J57" s="82">
        <v>431000</v>
      </c>
      <c r="K57" s="150"/>
      <c r="L57" s="150"/>
      <c r="M57" s="151" t="s">
        <v>89</v>
      </c>
      <c r="N57" s="82">
        <v>431000</v>
      </c>
      <c r="O57" s="150"/>
      <c r="P57" s="150"/>
      <c r="Q57" s="151" t="s">
        <v>89</v>
      </c>
      <c r="R57" s="82">
        <v>431000</v>
      </c>
      <c r="S57" s="150"/>
      <c r="T57" s="150"/>
    </row>
    <row r="58" spans="1:20">
      <c r="A58" s="77" t="s">
        <v>252</v>
      </c>
      <c r="B58" s="83">
        <v>431002</v>
      </c>
      <c r="C58" s="79">
        <v>16100000</v>
      </c>
      <c r="D58" s="79">
        <v>0</v>
      </c>
      <c r="E58" s="77" t="s">
        <v>252</v>
      </c>
      <c r="F58" s="83">
        <v>431002</v>
      </c>
      <c r="G58" s="79">
        <v>16100000</v>
      </c>
      <c r="H58" s="79">
        <v>6086807</v>
      </c>
      <c r="I58" s="77" t="s">
        <v>252</v>
      </c>
      <c r="J58" s="83">
        <v>431002</v>
      </c>
      <c r="K58" s="79">
        <v>16100000</v>
      </c>
      <c r="L58" s="79">
        <v>6086807</v>
      </c>
      <c r="M58" s="77" t="s">
        <v>252</v>
      </c>
      <c r="N58" s="83">
        <v>431002</v>
      </c>
      <c r="O58" s="79">
        <v>16100000</v>
      </c>
      <c r="P58" s="79">
        <v>11921964</v>
      </c>
      <c r="Q58" s="77" t="s">
        <v>252</v>
      </c>
      <c r="R58" s="83">
        <v>431002</v>
      </c>
      <c r="S58" s="79">
        <v>16100000</v>
      </c>
      <c r="T58" s="79">
        <v>11921964</v>
      </c>
    </row>
    <row r="59" spans="1:20" s="73" customFormat="1">
      <c r="A59" s="81" t="s">
        <v>17</v>
      </c>
      <c r="B59" s="82"/>
      <c r="C59" s="157">
        <f>SUM(C58)</f>
        <v>16100000</v>
      </c>
      <c r="D59" s="157">
        <f>SUM(D58)</f>
        <v>0</v>
      </c>
      <c r="E59" s="81" t="s">
        <v>17</v>
      </c>
      <c r="F59" s="82"/>
      <c r="G59" s="157">
        <f>SUM(G58)</f>
        <v>16100000</v>
      </c>
      <c r="H59" s="157">
        <f>SUM(H58)</f>
        <v>6086807</v>
      </c>
      <c r="I59" s="81" t="s">
        <v>17</v>
      </c>
      <c r="J59" s="82"/>
      <c r="K59" s="157">
        <f>SUM(K58)</f>
        <v>16100000</v>
      </c>
      <c r="L59" s="157">
        <f>SUM(L58)</f>
        <v>6086807</v>
      </c>
      <c r="M59" s="81" t="s">
        <v>17</v>
      </c>
      <c r="N59" s="82"/>
      <c r="O59" s="157">
        <f>SUM(O58)</f>
        <v>16100000</v>
      </c>
      <c r="P59" s="157">
        <f>SUM(P58)</f>
        <v>11921964</v>
      </c>
      <c r="Q59" s="81" t="s">
        <v>17</v>
      </c>
      <c r="R59" s="82"/>
      <c r="S59" s="157">
        <f>SUM(S58)</f>
        <v>16100000</v>
      </c>
      <c r="T59" s="157">
        <f>SUM(T58)</f>
        <v>11921964</v>
      </c>
    </row>
    <row r="60" spans="1:20" s="73" customFormat="1" ht="22.5" thickBot="1">
      <c r="A60" s="158" t="s">
        <v>137</v>
      </c>
      <c r="B60" s="159"/>
      <c r="C60" s="80">
        <f>SUM(C11,C25,C30,C33,C37,C40,C55,C59)</f>
        <v>33321700</v>
      </c>
      <c r="D60" s="80">
        <f>SUM(D11,D25,D30,D33,D37,D40,D55,D59)</f>
        <v>1336189.69</v>
      </c>
      <c r="E60" s="158" t="s">
        <v>137</v>
      </c>
      <c r="F60" s="159"/>
      <c r="G60" s="80">
        <f>SUM(G11,G25,G30,G33,G37,G40,G55,G59)</f>
        <v>33321700</v>
      </c>
      <c r="H60" s="80">
        <f>SUM(H11,H25,H30,H33,H37,H40,H55,H59)</f>
        <v>8877030.1600000001</v>
      </c>
      <c r="I60" s="158" t="s">
        <v>137</v>
      </c>
      <c r="J60" s="159"/>
      <c r="K60" s="80">
        <f>SUM(K11,K25,K30,K33,K37,K40,K55,K59)</f>
        <v>33321700</v>
      </c>
      <c r="L60" s="80">
        <f>SUM(L11,L25,L30,L33,L37,L40,L55,L59)</f>
        <v>10248156.26</v>
      </c>
      <c r="M60" s="158" t="s">
        <v>137</v>
      </c>
      <c r="N60" s="159"/>
      <c r="O60" s="80">
        <f>SUM(O11,O25,O30,O33,O37,O40,O55,O59)</f>
        <v>33321700</v>
      </c>
      <c r="P60" s="80">
        <f>SUM(P11,P25,P30,P33,P37,P40,P55,P59)</f>
        <v>17090974.600000001</v>
      </c>
      <c r="Q60" s="158" t="s">
        <v>137</v>
      </c>
      <c r="R60" s="159"/>
      <c r="S60" s="80">
        <f>SUM(S11,S25,S30,S33,S37,S40,S55,S59)</f>
        <v>33321700</v>
      </c>
      <c r="T60" s="80">
        <f>SUM(T11,T25,T30,T33,T37,T40,T55,T59)</f>
        <v>18919168.25</v>
      </c>
    </row>
    <row r="61" spans="1:20" s="73" customFormat="1" ht="22.5" thickTop="1">
      <c r="A61" s="151" t="s">
        <v>361</v>
      </c>
      <c r="B61" s="82">
        <v>440000</v>
      </c>
      <c r="C61" s="150"/>
      <c r="D61" s="150"/>
      <c r="E61" s="151" t="s">
        <v>361</v>
      </c>
      <c r="F61" s="82">
        <v>440000</v>
      </c>
      <c r="G61" s="150"/>
      <c r="H61" s="150"/>
      <c r="I61" s="151" t="s">
        <v>361</v>
      </c>
      <c r="J61" s="82">
        <v>440000</v>
      </c>
      <c r="K61" s="150"/>
      <c r="L61" s="150"/>
      <c r="M61" s="151" t="s">
        <v>361</v>
      </c>
      <c r="N61" s="82">
        <v>440000</v>
      </c>
      <c r="O61" s="150"/>
      <c r="P61" s="150"/>
      <c r="Q61" s="151" t="s">
        <v>361</v>
      </c>
      <c r="R61" s="82">
        <v>440000</v>
      </c>
      <c r="S61" s="150"/>
      <c r="T61" s="150"/>
    </row>
    <row r="62" spans="1:20" s="73" customFormat="1">
      <c r="A62" s="151" t="s">
        <v>362</v>
      </c>
      <c r="B62" s="82">
        <v>441000</v>
      </c>
      <c r="C62" s="150"/>
      <c r="D62" s="150"/>
      <c r="E62" s="151" t="s">
        <v>362</v>
      </c>
      <c r="F62" s="82">
        <v>441000</v>
      </c>
      <c r="G62" s="150"/>
      <c r="H62" s="150"/>
      <c r="I62" s="151" t="s">
        <v>362</v>
      </c>
      <c r="J62" s="82">
        <v>441000</v>
      </c>
      <c r="K62" s="150"/>
      <c r="L62" s="150"/>
      <c r="M62" s="151" t="s">
        <v>362</v>
      </c>
      <c r="N62" s="82">
        <v>441000</v>
      </c>
      <c r="O62" s="150"/>
      <c r="P62" s="150"/>
      <c r="Q62" s="151" t="s">
        <v>362</v>
      </c>
      <c r="R62" s="82">
        <v>441000</v>
      </c>
      <c r="S62" s="150"/>
      <c r="T62" s="150"/>
    </row>
    <row r="63" spans="1:20">
      <c r="A63" s="77" t="s">
        <v>363</v>
      </c>
      <c r="B63" s="83">
        <v>441001</v>
      </c>
      <c r="C63" s="79"/>
      <c r="D63" s="79">
        <f>SUM(งบดุลบัญชี!H104)</f>
        <v>0</v>
      </c>
      <c r="E63" s="77" t="s">
        <v>363</v>
      </c>
      <c r="F63" s="83">
        <v>441001</v>
      </c>
      <c r="G63" s="79"/>
      <c r="H63" s="79">
        <v>3485940</v>
      </c>
      <c r="I63" s="77" t="s">
        <v>363</v>
      </c>
      <c r="J63" s="83">
        <v>441001</v>
      </c>
      <c r="K63" s="79"/>
      <c r="L63" s="79">
        <v>5589140</v>
      </c>
      <c r="M63" s="77" t="s">
        <v>363</v>
      </c>
      <c r="N63" s="83">
        <v>441001</v>
      </c>
      <c r="O63" s="79"/>
      <c r="P63" s="79">
        <v>5970450</v>
      </c>
      <c r="Q63" s="77" t="s">
        <v>363</v>
      </c>
      <c r="R63" s="83">
        <v>441001</v>
      </c>
      <c r="S63" s="79"/>
      <c r="T63" s="79">
        <v>5970450</v>
      </c>
    </row>
    <row r="64" spans="1:20">
      <c r="A64" s="77" t="s">
        <v>364</v>
      </c>
      <c r="B64" s="83">
        <v>441002</v>
      </c>
      <c r="C64" s="79"/>
      <c r="D64" s="79">
        <f>SUM(งบดุลบัญชี!H105)</f>
        <v>0</v>
      </c>
      <c r="E64" s="77" t="s">
        <v>364</v>
      </c>
      <c r="F64" s="83">
        <v>441002</v>
      </c>
      <c r="G64" s="79"/>
      <c r="H64" s="79">
        <f>SUM(งบดุลบัญชี!L105)</f>
        <v>0</v>
      </c>
      <c r="I64" s="77" t="s">
        <v>364</v>
      </c>
      <c r="J64" s="83">
        <v>441002</v>
      </c>
      <c r="K64" s="79"/>
      <c r="L64" s="79">
        <f>SUM(งบดุลบัญชี!P105)</f>
        <v>0</v>
      </c>
      <c r="M64" s="77" t="s">
        <v>364</v>
      </c>
      <c r="N64" s="83">
        <v>441002</v>
      </c>
      <c r="O64" s="79"/>
      <c r="P64" s="79">
        <v>0</v>
      </c>
      <c r="Q64" s="77" t="s">
        <v>364</v>
      </c>
      <c r="R64" s="83">
        <v>441002</v>
      </c>
      <c r="S64" s="79"/>
      <c r="T64" s="79">
        <v>0</v>
      </c>
    </row>
    <row r="65" spans="1:20">
      <c r="A65" s="77"/>
      <c r="B65" s="83"/>
      <c r="C65" s="79"/>
      <c r="D65" s="79"/>
      <c r="E65" s="77"/>
      <c r="F65" s="83"/>
      <c r="G65" s="79"/>
      <c r="H65" s="79"/>
      <c r="I65" s="77"/>
      <c r="J65" s="83"/>
      <c r="K65" s="79"/>
      <c r="L65" s="79"/>
      <c r="M65" s="77"/>
      <c r="N65" s="83"/>
      <c r="O65" s="79"/>
      <c r="P65" s="79"/>
      <c r="Q65" s="77"/>
      <c r="R65" s="83"/>
      <c r="S65" s="79"/>
      <c r="T65" s="79"/>
    </row>
    <row r="66" spans="1:20">
      <c r="A66" s="77"/>
      <c r="B66" s="83"/>
      <c r="C66" s="79"/>
      <c r="D66" s="79"/>
      <c r="E66" s="77"/>
      <c r="F66" s="83"/>
      <c r="G66" s="79"/>
      <c r="H66" s="79"/>
      <c r="I66" s="77"/>
      <c r="J66" s="83"/>
      <c r="K66" s="79"/>
      <c r="L66" s="79"/>
      <c r="M66" s="77"/>
      <c r="N66" s="83"/>
      <c r="O66" s="79"/>
      <c r="P66" s="79"/>
      <c r="Q66" s="77"/>
      <c r="R66" s="83"/>
      <c r="S66" s="79"/>
      <c r="T66" s="79"/>
    </row>
    <row r="67" spans="1:20" s="73" customFormat="1">
      <c r="A67" s="271" t="s">
        <v>17</v>
      </c>
      <c r="B67" s="160"/>
      <c r="C67" s="157">
        <f>SUM(C63:C64)</f>
        <v>0</v>
      </c>
      <c r="D67" s="157">
        <f>SUM(D63:D64)</f>
        <v>0</v>
      </c>
      <c r="E67" s="336" t="s">
        <v>17</v>
      </c>
      <c r="F67" s="160"/>
      <c r="G67" s="157">
        <f>SUM(G63:G64)</f>
        <v>0</v>
      </c>
      <c r="H67" s="157">
        <f>SUM(H63:H64)</f>
        <v>3485940</v>
      </c>
      <c r="I67" s="345" t="s">
        <v>17</v>
      </c>
      <c r="J67" s="160"/>
      <c r="K67" s="157">
        <f>SUM(K63:K64)</f>
        <v>0</v>
      </c>
      <c r="L67" s="157">
        <f>SUM(L63:L64)</f>
        <v>5589140</v>
      </c>
      <c r="M67" s="354" t="s">
        <v>17</v>
      </c>
      <c r="N67" s="160"/>
      <c r="O67" s="157">
        <f>SUM(O63:O64)</f>
        <v>0</v>
      </c>
      <c r="P67" s="157">
        <f>SUM(P63:P64)</f>
        <v>5970450</v>
      </c>
      <c r="Q67" s="366" t="s">
        <v>17</v>
      </c>
      <c r="R67" s="160"/>
      <c r="S67" s="157">
        <f>SUM(S63:S64)</f>
        <v>0</v>
      </c>
      <c r="T67" s="157">
        <f>SUM(T63:T64)</f>
        <v>5970450</v>
      </c>
    </row>
    <row r="68" spans="1:20" s="73" customFormat="1" ht="22.5" thickBot="1">
      <c r="A68" s="272" t="s">
        <v>138</v>
      </c>
      <c r="B68" s="161"/>
      <c r="C68" s="162">
        <f>+C60+C67</f>
        <v>33321700</v>
      </c>
      <c r="D68" s="162">
        <f>+D60+D67</f>
        <v>1336189.69</v>
      </c>
      <c r="E68" s="272" t="s">
        <v>138</v>
      </c>
      <c r="F68" s="161"/>
      <c r="G68" s="162">
        <f>+G60+G67</f>
        <v>33321700</v>
      </c>
      <c r="H68" s="162">
        <f>+H60+H67</f>
        <v>12362970.16</v>
      </c>
      <c r="I68" s="272" t="s">
        <v>138</v>
      </c>
      <c r="J68" s="161"/>
      <c r="K68" s="162">
        <f>+K60+K67</f>
        <v>33321700</v>
      </c>
      <c r="L68" s="162">
        <f>+L60+L67</f>
        <v>15837296.26</v>
      </c>
      <c r="M68" s="272" t="s">
        <v>138</v>
      </c>
      <c r="N68" s="161"/>
      <c r="O68" s="162">
        <f>+O60+O67</f>
        <v>33321700</v>
      </c>
      <c r="P68" s="162">
        <f>+P60+P67</f>
        <v>23061424.600000001</v>
      </c>
      <c r="Q68" s="272" t="s">
        <v>138</v>
      </c>
      <c r="R68" s="161"/>
      <c r="S68" s="162">
        <f>+S60+S67</f>
        <v>33321700</v>
      </c>
      <c r="T68" s="162">
        <f>+T60+T67</f>
        <v>24889618.25</v>
      </c>
    </row>
    <row r="69" spans="1:20" ht="22.5" thickTop="1">
      <c r="C69" s="126"/>
      <c r="D69" s="126"/>
      <c r="F69" s="127"/>
      <c r="G69" s="126"/>
      <c r="H69" s="126"/>
      <c r="J69" s="127"/>
      <c r="K69" s="126"/>
      <c r="L69" s="126"/>
      <c r="N69" s="127"/>
      <c r="O69" s="126"/>
      <c r="P69" s="126"/>
      <c r="R69" s="127"/>
      <c r="S69" s="126"/>
      <c r="T69" s="126"/>
    </row>
    <row r="70" spans="1:20">
      <c r="C70" s="126"/>
      <c r="D70" s="126"/>
    </row>
    <row r="71" spans="1:20">
      <c r="C71" s="126"/>
      <c r="D71" s="126"/>
    </row>
    <row r="74" spans="1:20">
      <c r="B74" s="424">
        <v>30719200</v>
      </c>
      <c r="C74" s="424"/>
    </row>
    <row r="76" spans="1:20">
      <c r="B76" s="129"/>
    </row>
  </sheetData>
  <mergeCells count="16">
    <mergeCell ref="B74:C74"/>
    <mergeCell ref="E2:H2"/>
    <mergeCell ref="E3:H3"/>
    <mergeCell ref="E4:H4"/>
    <mergeCell ref="I2:L2"/>
    <mergeCell ref="I3:L3"/>
    <mergeCell ref="I4:L4"/>
    <mergeCell ref="A2:D2"/>
    <mergeCell ref="A3:D3"/>
    <mergeCell ref="A4:D4"/>
    <mergeCell ref="Q2:T2"/>
    <mergeCell ref="Q3:T3"/>
    <mergeCell ref="Q4:T4"/>
    <mergeCell ref="M2:P2"/>
    <mergeCell ref="M3:P3"/>
    <mergeCell ref="M4:P4"/>
  </mergeCells>
  <phoneticPr fontId="2" type="noConversion"/>
  <pageMargins left="0.59055118110236227" right="0.39370078740157483" top="0.59055118110236227" bottom="0.39370078740157483" header="0.62992125984251968" footer="0.43307086614173229"/>
  <pageSetup paperSize="9" scale="85" orientation="portrait" horizontalDpi="300" verticalDpi="300" r:id="rId1"/>
  <headerFooter alignWithMargins="0"/>
  <rowBreaks count="1" manualBreakCount="1">
    <brk id="41" max="19" man="1"/>
  </rowBreaks>
  <colBreaks count="1" manualBreakCount="1">
    <brk id="8" max="68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rgb="FFC00000"/>
  </sheetPr>
  <dimension ref="A1:G113"/>
  <sheetViews>
    <sheetView view="pageBreakPreview" topLeftCell="A87" zoomScaleSheetLayoutView="100" workbookViewId="0">
      <selection activeCell="D107" sqref="D107"/>
    </sheetView>
  </sheetViews>
  <sheetFormatPr defaultRowHeight="21.75"/>
  <cols>
    <col min="1" max="1" width="2.85546875" style="1" customWidth="1"/>
    <col min="2" max="2" width="14.85546875" style="1" customWidth="1"/>
    <col min="3" max="3" width="24.42578125" style="1" customWidth="1"/>
    <col min="4" max="4" width="12.7109375" style="1" customWidth="1"/>
    <col min="5" max="5" width="12.42578125" style="1" customWidth="1"/>
    <col min="6" max="6" width="15.85546875" style="2" customWidth="1"/>
    <col min="7" max="7" width="12.5703125" style="1" customWidth="1"/>
    <col min="8" max="8" width="13.85546875" style="1" customWidth="1"/>
    <col min="9" max="9" width="15.85546875" style="1" customWidth="1"/>
    <col min="10" max="10" width="10" style="1" bestFit="1" customWidth="1"/>
    <col min="11" max="16384" width="9.140625" style="1"/>
  </cols>
  <sheetData>
    <row r="1" spans="1:7">
      <c r="A1" s="425" t="s">
        <v>28</v>
      </c>
      <c r="B1" s="425"/>
      <c r="C1" s="425"/>
      <c r="D1" s="425"/>
      <c r="E1" s="425"/>
      <c r="F1" s="425"/>
      <c r="G1" s="331"/>
    </row>
    <row r="2" spans="1:7">
      <c r="A2" s="425" t="s">
        <v>367</v>
      </c>
      <c r="B2" s="425"/>
      <c r="C2" s="425"/>
      <c r="D2" s="425"/>
      <c r="E2" s="425"/>
      <c r="F2" s="425"/>
      <c r="G2" s="331"/>
    </row>
    <row r="3" spans="1:7">
      <c r="A3" s="425" t="s">
        <v>346</v>
      </c>
      <c r="B3" s="425"/>
      <c r="C3" s="425"/>
      <c r="D3" s="425"/>
      <c r="E3" s="425"/>
      <c r="F3" s="425"/>
      <c r="G3" s="331"/>
    </row>
    <row r="4" spans="1:7">
      <c r="A4" s="277" t="s">
        <v>368</v>
      </c>
      <c r="B4" s="277"/>
      <c r="C4" s="259"/>
      <c r="D4" s="259"/>
      <c r="E4" s="259"/>
      <c r="F4" s="279"/>
      <c r="G4" s="259"/>
    </row>
    <row r="5" spans="1:7">
      <c r="A5" s="275"/>
      <c r="B5" s="278" t="s">
        <v>218</v>
      </c>
      <c r="C5" s="275"/>
      <c r="D5" s="275"/>
      <c r="E5" s="275"/>
      <c r="F5" s="279" t="s">
        <v>24</v>
      </c>
      <c r="G5" s="275"/>
    </row>
    <row r="6" spans="1:7">
      <c r="A6" s="282"/>
      <c r="B6" s="282" t="s">
        <v>7</v>
      </c>
      <c r="C6" s="282"/>
      <c r="D6" s="282"/>
      <c r="E6" s="282"/>
      <c r="F6" s="283">
        <v>1012504</v>
      </c>
      <c r="G6" s="282"/>
    </row>
    <row r="7" spans="1:7">
      <c r="A7" s="282"/>
      <c r="B7" s="282" t="s">
        <v>9</v>
      </c>
      <c r="C7" s="282"/>
      <c r="D7" s="282"/>
      <c r="E7" s="282"/>
      <c r="F7" s="283">
        <v>10500</v>
      </c>
      <c r="G7" s="282"/>
    </row>
    <row r="8" spans="1:7" ht="22.5" thickBot="1">
      <c r="A8" s="275"/>
      <c r="B8" s="275"/>
      <c r="C8" s="275"/>
      <c r="D8" s="275"/>
      <c r="E8" s="275" t="s">
        <v>17</v>
      </c>
      <c r="F8" s="281">
        <f>SUM(F6:F7)</f>
        <v>1023004</v>
      </c>
      <c r="G8" s="275"/>
    </row>
    <row r="9" spans="1:7" ht="22.5" thickTop="1">
      <c r="A9" s="275"/>
      <c r="B9" s="275"/>
      <c r="C9" s="275"/>
      <c r="D9" s="275"/>
      <c r="E9" s="275"/>
      <c r="F9" s="279"/>
      <c r="G9" s="275"/>
    </row>
    <row r="10" spans="1:7">
      <c r="A10" s="19" t="s">
        <v>369</v>
      </c>
      <c r="B10" s="3"/>
      <c r="C10" s="3"/>
      <c r="D10" s="273"/>
      <c r="E10" s="273"/>
      <c r="F10" s="280"/>
      <c r="G10" s="273"/>
    </row>
    <row r="11" spans="1:7">
      <c r="A11" s="19"/>
      <c r="B11" s="3"/>
      <c r="C11" s="3"/>
      <c r="D11" s="273"/>
      <c r="E11" s="273"/>
      <c r="F11" s="280" t="s">
        <v>24</v>
      </c>
      <c r="G11" s="273"/>
    </row>
    <row r="12" spans="1:7">
      <c r="B12" s="55" t="s">
        <v>26</v>
      </c>
      <c r="D12" s="72"/>
      <c r="E12" s="126"/>
      <c r="F12" s="126">
        <v>11632.19</v>
      </c>
      <c r="G12" s="72"/>
    </row>
    <row r="13" spans="1:7">
      <c r="B13" s="55" t="s">
        <v>68</v>
      </c>
      <c r="D13" s="72"/>
      <c r="E13" s="126"/>
      <c r="F13" s="126">
        <v>5755.16</v>
      </c>
      <c r="G13" s="72"/>
    </row>
    <row r="14" spans="1:7">
      <c r="B14" s="55" t="s">
        <v>27</v>
      </c>
      <c r="D14" s="72"/>
      <c r="E14" s="126"/>
      <c r="F14" s="126">
        <v>764932</v>
      </c>
      <c r="G14" s="72"/>
    </row>
    <row r="15" spans="1:7">
      <c r="B15" s="55" t="s">
        <v>69</v>
      </c>
      <c r="D15" s="72"/>
      <c r="E15" s="126"/>
      <c r="F15" s="126">
        <v>56100</v>
      </c>
      <c r="G15" s="72"/>
    </row>
    <row r="16" spans="1:7">
      <c r="B16" s="55" t="s">
        <v>70</v>
      </c>
      <c r="D16" s="72"/>
      <c r="E16" s="126"/>
      <c r="F16" s="126">
        <v>278051.55</v>
      </c>
      <c r="G16" s="72"/>
    </row>
    <row r="17" spans="1:7">
      <c r="B17" s="55" t="s">
        <v>230</v>
      </c>
      <c r="D17" s="72"/>
      <c r="E17" s="126"/>
      <c r="F17" s="126">
        <v>0</v>
      </c>
      <c r="G17" s="72"/>
    </row>
    <row r="18" spans="1:7">
      <c r="B18" s="1" t="s">
        <v>261</v>
      </c>
      <c r="D18" s="72"/>
      <c r="E18" s="126"/>
      <c r="F18" s="126">
        <v>50</v>
      </c>
      <c r="G18" s="72"/>
    </row>
    <row r="19" spans="1:7" s="3" customFormat="1" ht="22.5" thickBot="1">
      <c r="D19" s="284"/>
      <c r="E19" s="3" t="s">
        <v>17</v>
      </c>
      <c r="F19" s="4">
        <f>SUM(F12:F18)</f>
        <v>1116520.8999999999</v>
      </c>
    </row>
    <row r="20" spans="1:7" ht="22.5" thickTop="1"/>
    <row r="22" spans="1:7">
      <c r="A22" s="425" t="s">
        <v>28</v>
      </c>
      <c r="B22" s="425"/>
      <c r="C22" s="425"/>
      <c r="D22" s="425"/>
      <c r="E22" s="425"/>
      <c r="F22" s="425"/>
    </row>
    <row r="23" spans="1:7">
      <c r="A23" s="425" t="s">
        <v>367</v>
      </c>
      <c r="B23" s="425"/>
      <c r="C23" s="425"/>
      <c r="D23" s="425"/>
      <c r="E23" s="425"/>
      <c r="F23" s="425"/>
    </row>
    <row r="24" spans="1:7">
      <c r="A24" s="425" t="s">
        <v>418</v>
      </c>
      <c r="B24" s="425"/>
      <c r="C24" s="425"/>
      <c r="D24" s="425"/>
      <c r="E24" s="425"/>
      <c r="F24" s="425"/>
    </row>
    <row r="25" spans="1:7">
      <c r="A25" s="277" t="s">
        <v>368</v>
      </c>
      <c r="B25" s="277"/>
      <c r="C25" s="325"/>
      <c r="D25" s="325"/>
      <c r="E25" s="325"/>
      <c r="F25" s="279"/>
    </row>
    <row r="26" spans="1:7">
      <c r="A26" s="325"/>
      <c r="B26" s="278" t="s">
        <v>218</v>
      </c>
      <c r="C26" s="325"/>
      <c r="D26" s="325"/>
      <c r="E26" s="325"/>
      <c r="F26" s="279" t="s">
        <v>24</v>
      </c>
    </row>
    <row r="27" spans="1:7">
      <c r="A27" s="282"/>
      <c r="B27" s="282" t="s">
        <v>7</v>
      </c>
      <c r="C27" s="282"/>
      <c r="D27" s="282"/>
      <c r="E27" s="282"/>
      <c r="F27" s="283"/>
    </row>
    <row r="28" spans="1:7">
      <c r="A28" s="282"/>
      <c r="B28" s="282" t="s">
        <v>9</v>
      </c>
      <c r="C28" s="282"/>
      <c r="D28" s="282"/>
      <c r="E28" s="282"/>
      <c r="F28" s="283"/>
    </row>
    <row r="29" spans="1:7">
      <c r="A29" s="282"/>
      <c r="B29" s="282" t="s">
        <v>419</v>
      </c>
      <c r="C29" s="282"/>
      <c r="D29" s="282"/>
      <c r="E29" s="282"/>
      <c r="F29" s="283">
        <f>49000+154560+228000+231200+107000+118683+334000</f>
        <v>1222443</v>
      </c>
    </row>
    <row r="30" spans="1:7">
      <c r="A30" s="282"/>
      <c r="B30" s="282" t="s">
        <v>12</v>
      </c>
      <c r="C30" s="282"/>
      <c r="D30" s="282"/>
      <c r="E30" s="282"/>
      <c r="F30" s="283">
        <v>25000</v>
      </c>
    </row>
    <row r="31" spans="1:7" ht="22.5" thickBot="1">
      <c r="A31" s="325"/>
      <c r="B31" s="325"/>
      <c r="C31" s="325"/>
      <c r="D31" s="325"/>
      <c r="E31" s="325" t="s">
        <v>17</v>
      </c>
      <c r="F31" s="281">
        <f>SUM(F27:F30)</f>
        <v>1247443</v>
      </c>
      <c r="G31" s="332">
        <f>1247443-F31</f>
        <v>0</v>
      </c>
    </row>
    <row r="32" spans="1:7" ht="22.5" thickTop="1">
      <c r="A32" s="325"/>
      <c r="B32" s="325"/>
      <c r="C32" s="325"/>
      <c r="D32" s="325"/>
      <c r="E32" s="325"/>
      <c r="F32" s="279"/>
    </row>
    <row r="33" spans="1:6">
      <c r="A33" s="19" t="s">
        <v>369</v>
      </c>
      <c r="B33" s="3"/>
      <c r="C33" s="3"/>
      <c r="D33" s="324"/>
      <c r="E33" s="324"/>
      <c r="F33" s="280"/>
    </row>
    <row r="34" spans="1:6">
      <c r="A34" s="19"/>
      <c r="B34" s="3"/>
      <c r="C34" s="3"/>
      <c r="D34" s="324"/>
      <c r="E34" s="324"/>
      <c r="F34" s="280" t="s">
        <v>24</v>
      </c>
    </row>
    <row r="35" spans="1:6">
      <c r="B35" s="55" t="s">
        <v>26</v>
      </c>
      <c r="D35" s="72"/>
      <c r="E35" s="126"/>
      <c r="F35" s="126">
        <v>16064.85</v>
      </c>
    </row>
    <row r="36" spans="1:6">
      <c r="B36" s="55" t="s">
        <v>68</v>
      </c>
      <c r="D36" s="72"/>
      <c r="E36" s="126"/>
      <c r="F36" s="126">
        <v>5755.16</v>
      </c>
    </row>
    <row r="37" spans="1:6">
      <c r="B37" s="55" t="s">
        <v>27</v>
      </c>
      <c r="D37" s="72"/>
      <c r="E37" s="126"/>
      <c r="F37" s="126">
        <v>763349</v>
      </c>
    </row>
    <row r="38" spans="1:6">
      <c r="B38" s="55" t="s">
        <v>69</v>
      </c>
      <c r="D38" s="72"/>
      <c r="E38" s="126"/>
      <c r="F38" s="126">
        <v>56100</v>
      </c>
    </row>
    <row r="39" spans="1:6">
      <c r="B39" s="55" t="s">
        <v>70</v>
      </c>
      <c r="D39" s="72"/>
      <c r="E39" s="126"/>
      <c r="F39" s="126">
        <v>278051.55</v>
      </c>
    </row>
    <row r="40" spans="1:6">
      <c r="B40" s="55" t="s">
        <v>230</v>
      </c>
      <c r="D40" s="72"/>
      <c r="E40" s="126"/>
      <c r="F40" s="126">
        <v>0</v>
      </c>
    </row>
    <row r="41" spans="1:6">
      <c r="B41" s="1" t="s">
        <v>261</v>
      </c>
      <c r="D41" s="72"/>
      <c r="E41" s="126"/>
      <c r="F41" s="126">
        <v>50</v>
      </c>
    </row>
    <row r="42" spans="1:6" ht="22.5" thickBot="1">
      <c r="A42" s="3"/>
      <c r="B42" s="3"/>
      <c r="C42" s="3"/>
      <c r="D42" s="284"/>
      <c r="E42" s="3" t="s">
        <v>17</v>
      </c>
      <c r="F42" s="4">
        <f>SUM(F35:F41)</f>
        <v>1119370.56</v>
      </c>
    </row>
    <row r="43" spans="1:6" ht="22.5" thickTop="1"/>
    <row r="44" spans="1:6">
      <c r="A44" s="425" t="s">
        <v>28</v>
      </c>
      <c r="B44" s="425"/>
      <c r="C44" s="425"/>
      <c r="D44" s="425"/>
      <c r="E44" s="425"/>
      <c r="F44" s="425"/>
    </row>
    <row r="45" spans="1:6">
      <c r="A45" s="425" t="s">
        <v>367</v>
      </c>
      <c r="B45" s="425"/>
      <c r="C45" s="425"/>
      <c r="D45" s="425"/>
      <c r="E45" s="425"/>
      <c r="F45" s="425"/>
    </row>
    <row r="46" spans="1:6">
      <c r="A46" s="425" t="s">
        <v>429</v>
      </c>
      <c r="B46" s="425"/>
      <c r="C46" s="425"/>
      <c r="D46" s="425"/>
      <c r="E46" s="425"/>
      <c r="F46" s="425"/>
    </row>
    <row r="47" spans="1:6">
      <c r="A47" s="277" t="s">
        <v>368</v>
      </c>
      <c r="B47" s="277"/>
      <c r="C47" s="347"/>
      <c r="D47" s="347"/>
      <c r="E47" s="347"/>
      <c r="F47" s="279"/>
    </row>
    <row r="48" spans="1:6">
      <c r="A48" s="347"/>
      <c r="B48" s="278" t="s">
        <v>218</v>
      </c>
      <c r="C48" s="347"/>
      <c r="D48" s="347"/>
      <c r="E48" s="347"/>
      <c r="F48" s="279" t="s">
        <v>24</v>
      </c>
    </row>
    <row r="49" spans="1:6">
      <c r="A49" s="347"/>
      <c r="B49" s="282" t="s">
        <v>5</v>
      </c>
      <c r="C49" s="347"/>
      <c r="D49" s="347"/>
      <c r="E49" s="347"/>
      <c r="F49" s="283">
        <v>336113</v>
      </c>
    </row>
    <row r="50" spans="1:6">
      <c r="A50" s="282"/>
      <c r="B50" s="282" t="s">
        <v>7</v>
      </c>
      <c r="C50" s="282"/>
      <c r="D50" s="282"/>
      <c r="E50" s="282"/>
      <c r="F50" s="283">
        <v>0</v>
      </c>
    </row>
    <row r="51" spans="1:6">
      <c r="A51" s="282"/>
      <c r="B51" s="282" t="s">
        <v>9</v>
      </c>
      <c r="C51" s="282"/>
      <c r="D51" s="282"/>
      <c r="E51" s="282"/>
      <c r="F51" s="283">
        <v>0</v>
      </c>
    </row>
    <row r="52" spans="1:6">
      <c r="A52" s="282"/>
      <c r="B52" s="282" t="s">
        <v>419</v>
      </c>
      <c r="C52" s="282"/>
      <c r="D52" s="282"/>
      <c r="E52" s="282"/>
      <c r="F52" s="283">
        <f>119000+798000+60000</f>
        <v>977000</v>
      </c>
    </row>
    <row r="53" spans="1:6">
      <c r="A53" s="282"/>
      <c r="B53" s="282" t="s">
        <v>12</v>
      </c>
      <c r="C53" s="282"/>
      <c r="D53" s="282"/>
      <c r="E53" s="282"/>
      <c r="F53" s="283">
        <v>0</v>
      </c>
    </row>
    <row r="54" spans="1:6" ht="22.5" thickBot="1">
      <c r="A54" s="347"/>
      <c r="B54" s="347"/>
      <c r="C54" s="347"/>
      <c r="D54" s="347"/>
      <c r="E54" s="347" t="s">
        <v>17</v>
      </c>
      <c r="F54" s="281">
        <f>SUM(F49:F53)</f>
        <v>1313113</v>
      </c>
    </row>
    <row r="55" spans="1:6" ht="22.5" thickTop="1">
      <c r="A55" s="347"/>
      <c r="B55" s="347"/>
      <c r="C55" s="347"/>
      <c r="D55" s="347"/>
      <c r="E55" s="347"/>
      <c r="F55" s="279"/>
    </row>
    <row r="56" spans="1:6">
      <c r="A56" s="19" t="s">
        <v>369</v>
      </c>
      <c r="B56" s="3"/>
      <c r="C56" s="3"/>
      <c r="D56" s="346"/>
      <c r="E56" s="346"/>
      <c r="F56" s="280"/>
    </row>
    <row r="57" spans="1:6">
      <c r="A57" s="19"/>
      <c r="B57" s="3"/>
      <c r="C57" s="3"/>
      <c r="D57" s="346"/>
      <c r="E57" s="346"/>
      <c r="F57" s="280" t="s">
        <v>24</v>
      </c>
    </row>
    <row r="58" spans="1:6">
      <c r="B58" s="55" t="s">
        <v>26</v>
      </c>
      <c r="D58" s="72"/>
      <c r="E58" s="126"/>
      <c r="F58" s="126">
        <v>12441.01</v>
      </c>
    </row>
    <row r="59" spans="1:6">
      <c r="B59" s="55" t="s">
        <v>68</v>
      </c>
      <c r="D59" s="72"/>
      <c r="E59" s="126"/>
      <c r="F59" s="126">
        <v>5755.16</v>
      </c>
    </row>
    <row r="60" spans="1:6">
      <c r="B60" s="55" t="s">
        <v>27</v>
      </c>
      <c r="D60" s="72"/>
      <c r="E60" s="126"/>
      <c r="F60" s="126">
        <v>783561</v>
      </c>
    </row>
    <row r="61" spans="1:6">
      <c r="B61" s="55" t="s">
        <v>69</v>
      </c>
      <c r="D61" s="72"/>
      <c r="E61" s="126"/>
      <c r="F61" s="126">
        <v>77100</v>
      </c>
    </row>
    <row r="62" spans="1:6">
      <c r="B62" s="55" t="s">
        <v>70</v>
      </c>
      <c r="D62" s="72"/>
      <c r="E62" s="126"/>
      <c r="F62" s="126">
        <v>278051.55</v>
      </c>
    </row>
    <row r="63" spans="1:6">
      <c r="B63" s="55" t="s">
        <v>230</v>
      </c>
      <c r="D63" s="72"/>
      <c r="E63" s="126"/>
      <c r="F63" s="126">
        <v>0</v>
      </c>
    </row>
    <row r="64" spans="1:6">
      <c r="B64" s="1" t="s">
        <v>261</v>
      </c>
      <c r="D64" s="72"/>
      <c r="E64" s="126"/>
      <c r="F64" s="126">
        <v>50</v>
      </c>
    </row>
    <row r="65" spans="1:6" ht="22.5" thickBot="1">
      <c r="A65" s="3"/>
      <c r="B65" s="3"/>
      <c r="C65" s="3"/>
      <c r="D65" s="284"/>
      <c r="E65" s="3" t="s">
        <v>17</v>
      </c>
      <c r="F65" s="4">
        <f>SUM(F58:F64)</f>
        <v>1156958.72</v>
      </c>
    </row>
    <row r="66" spans="1:6" ht="22.5" thickTop="1"/>
    <row r="67" spans="1:6">
      <c r="A67" s="425" t="s">
        <v>28</v>
      </c>
      <c r="B67" s="425"/>
      <c r="C67" s="425"/>
      <c r="D67" s="425"/>
      <c r="E67" s="425"/>
      <c r="F67" s="425"/>
    </row>
    <row r="68" spans="1:6">
      <c r="A68" s="425" t="s">
        <v>367</v>
      </c>
      <c r="B68" s="425"/>
      <c r="C68" s="425"/>
      <c r="D68" s="425"/>
      <c r="E68" s="425"/>
      <c r="F68" s="425"/>
    </row>
    <row r="69" spans="1:6">
      <c r="A69" s="425" t="s">
        <v>452</v>
      </c>
      <c r="B69" s="425"/>
      <c r="C69" s="425"/>
      <c r="D69" s="425"/>
      <c r="E69" s="425"/>
      <c r="F69" s="425"/>
    </row>
    <row r="70" spans="1:6">
      <c r="A70" s="277" t="s">
        <v>368</v>
      </c>
      <c r="B70" s="277"/>
      <c r="C70" s="358"/>
      <c r="D70" s="358"/>
      <c r="E70" s="358"/>
      <c r="F70" s="279"/>
    </row>
    <row r="71" spans="1:6">
      <c r="A71" s="358"/>
      <c r="B71" s="278" t="s">
        <v>218</v>
      </c>
      <c r="C71" s="358"/>
      <c r="D71" s="358"/>
      <c r="E71" s="358"/>
      <c r="F71" s="279" t="s">
        <v>24</v>
      </c>
    </row>
    <row r="72" spans="1:6">
      <c r="A72" s="358"/>
      <c r="B72" s="282" t="s">
        <v>5</v>
      </c>
      <c r="C72" s="358"/>
      <c r="D72" s="358"/>
      <c r="E72" s="358"/>
      <c r="F72" s="283">
        <v>0</v>
      </c>
    </row>
    <row r="73" spans="1:6">
      <c r="A73" s="282"/>
      <c r="B73" s="282" t="s">
        <v>7</v>
      </c>
      <c r="C73" s="282"/>
      <c r="D73" s="282"/>
      <c r="E73" s="282"/>
      <c r="F73" s="283">
        <v>0</v>
      </c>
    </row>
    <row r="74" spans="1:6">
      <c r="A74" s="282"/>
      <c r="B74" s="282" t="s">
        <v>9</v>
      </c>
      <c r="C74" s="282"/>
      <c r="D74" s="282"/>
      <c r="E74" s="282"/>
      <c r="F74" s="283">
        <v>0</v>
      </c>
    </row>
    <row r="75" spans="1:6">
      <c r="A75" s="282"/>
      <c r="B75" s="282" t="s">
        <v>419</v>
      </c>
      <c r="C75" s="282"/>
      <c r="D75" s="282"/>
      <c r="E75" s="282"/>
      <c r="F75" s="283">
        <f>66000+355000+97423</f>
        <v>518423</v>
      </c>
    </row>
    <row r="76" spans="1:6">
      <c r="A76" s="282"/>
      <c r="B76" s="282" t="s">
        <v>12</v>
      </c>
      <c r="C76" s="282"/>
      <c r="D76" s="282"/>
      <c r="E76" s="282"/>
      <c r="F76" s="283">
        <v>0</v>
      </c>
    </row>
    <row r="77" spans="1:6" ht="22.5" thickBot="1">
      <c r="A77" s="358"/>
      <c r="B77" s="358"/>
      <c r="C77" s="358"/>
      <c r="D77" s="358"/>
      <c r="E77" s="358" t="s">
        <v>17</v>
      </c>
      <c r="F77" s="281">
        <f>SUM(F72:F76)</f>
        <v>518423</v>
      </c>
    </row>
    <row r="78" spans="1:6" ht="22.5" thickTop="1">
      <c r="A78" s="358"/>
      <c r="B78" s="358"/>
      <c r="C78" s="358"/>
      <c r="D78" s="358"/>
      <c r="E78" s="358"/>
      <c r="F78" s="279"/>
    </row>
    <row r="79" spans="1:6">
      <c r="A79" s="19" t="s">
        <v>369</v>
      </c>
      <c r="B79" s="3"/>
      <c r="C79" s="3"/>
      <c r="D79" s="357"/>
      <c r="E79" s="357"/>
      <c r="F79" s="280"/>
    </row>
    <row r="80" spans="1:6">
      <c r="A80" s="19"/>
      <c r="B80" s="3"/>
      <c r="C80" s="3"/>
      <c r="D80" s="357"/>
      <c r="E80" s="357"/>
      <c r="F80" s="280" t="s">
        <v>24</v>
      </c>
    </row>
    <row r="81" spans="1:6">
      <c r="B81" s="55" t="s">
        <v>26</v>
      </c>
      <c r="D81" s="72"/>
      <c r="E81" s="126"/>
      <c r="F81" s="126">
        <v>6415.87</v>
      </c>
    </row>
    <row r="82" spans="1:6">
      <c r="B82" s="55" t="s">
        <v>68</v>
      </c>
      <c r="D82" s="72"/>
      <c r="E82" s="126"/>
      <c r="F82" s="126">
        <v>5821.28</v>
      </c>
    </row>
    <row r="83" spans="1:6">
      <c r="B83" s="55" t="s">
        <v>27</v>
      </c>
      <c r="D83" s="72"/>
      <c r="E83" s="126"/>
      <c r="F83" s="126">
        <v>836770</v>
      </c>
    </row>
    <row r="84" spans="1:6">
      <c r="B84" s="55" t="s">
        <v>69</v>
      </c>
      <c r="D84" s="72"/>
      <c r="E84" s="126"/>
      <c r="F84" s="126">
        <v>77100</v>
      </c>
    </row>
    <row r="85" spans="1:6">
      <c r="B85" s="55" t="s">
        <v>70</v>
      </c>
      <c r="D85" s="72"/>
      <c r="E85" s="126"/>
      <c r="F85" s="126">
        <v>278051.55</v>
      </c>
    </row>
    <row r="86" spans="1:6">
      <c r="B86" s="55" t="s">
        <v>230</v>
      </c>
      <c r="D86" s="72"/>
      <c r="E86" s="126"/>
      <c r="F86" s="126">
        <v>0</v>
      </c>
    </row>
    <row r="87" spans="1:6">
      <c r="B87" s="1" t="s">
        <v>261</v>
      </c>
      <c r="D87" s="72"/>
      <c r="E87" s="126"/>
      <c r="F87" s="126">
        <v>632</v>
      </c>
    </row>
    <row r="88" spans="1:6">
      <c r="B88" s="1" t="s">
        <v>459</v>
      </c>
      <c r="D88" s="72"/>
      <c r="E88" s="126"/>
      <c r="F88" s="126">
        <v>17955</v>
      </c>
    </row>
    <row r="89" spans="1:6" ht="22.5" thickBot="1">
      <c r="A89" s="3"/>
      <c r="B89" s="3"/>
      <c r="C89" s="3"/>
      <c r="D89" s="284"/>
      <c r="E89" s="3" t="s">
        <v>17</v>
      </c>
      <c r="F89" s="4">
        <f>SUM(F81:F88)</f>
        <v>1222745.7</v>
      </c>
    </row>
    <row r="90" spans="1:6" ht="22.5" thickTop="1">
      <c r="A90" s="425" t="s">
        <v>28</v>
      </c>
      <c r="B90" s="425"/>
      <c r="C90" s="425"/>
      <c r="D90" s="425"/>
      <c r="E90" s="425"/>
      <c r="F90" s="425"/>
    </row>
    <row r="91" spans="1:6">
      <c r="A91" s="425" t="s">
        <v>367</v>
      </c>
      <c r="B91" s="425"/>
      <c r="C91" s="425"/>
      <c r="D91" s="425"/>
      <c r="E91" s="425"/>
      <c r="F91" s="425"/>
    </row>
    <row r="92" spans="1:6">
      <c r="A92" s="425" t="s">
        <v>466</v>
      </c>
      <c r="B92" s="425"/>
      <c r="C92" s="425"/>
      <c r="D92" s="425"/>
      <c r="E92" s="425"/>
      <c r="F92" s="425"/>
    </row>
    <row r="93" spans="1:6">
      <c r="A93" s="277" t="s">
        <v>368</v>
      </c>
      <c r="B93" s="277"/>
      <c r="C93" s="368"/>
      <c r="D93" s="368"/>
      <c r="E93" s="368"/>
      <c r="F93" s="279"/>
    </row>
    <row r="94" spans="1:6">
      <c r="A94" s="368"/>
      <c r="B94" s="278" t="s">
        <v>218</v>
      </c>
      <c r="C94" s="368"/>
      <c r="D94" s="368"/>
      <c r="E94" s="368"/>
      <c r="F94" s="279" t="s">
        <v>24</v>
      </c>
    </row>
    <row r="95" spans="1:6">
      <c r="A95" s="368"/>
      <c r="B95" s="282" t="s">
        <v>5</v>
      </c>
      <c r="C95" s="368"/>
      <c r="D95" s="368"/>
      <c r="E95" s="368"/>
      <c r="F95" s="283">
        <v>0</v>
      </c>
    </row>
    <row r="96" spans="1:6">
      <c r="A96" s="282"/>
      <c r="B96" s="282" t="s">
        <v>7</v>
      </c>
      <c r="C96" s="282"/>
      <c r="D96" s="282"/>
      <c r="E96" s="282"/>
      <c r="F96" s="283">
        <v>0</v>
      </c>
    </row>
    <row r="97" spans="1:6">
      <c r="A97" s="282"/>
      <c r="B97" s="282" t="s">
        <v>9</v>
      </c>
      <c r="C97" s="282"/>
      <c r="D97" s="282"/>
      <c r="E97" s="282"/>
      <c r="F97" s="283">
        <v>0</v>
      </c>
    </row>
    <row r="98" spans="1:6">
      <c r="A98" s="282"/>
      <c r="B98" s="282" t="s">
        <v>419</v>
      </c>
      <c r="C98" s="282"/>
      <c r="D98" s="282"/>
      <c r="E98" s="282"/>
      <c r="F98" s="283">
        <v>98000</v>
      </c>
    </row>
    <row r="99" spans="1:6">
      <c r="A99" s="282"/>
      <c r="B99" s="282" t="s">
        <v>12</v>
      </c>
      <c r="C99" s="282"/>
      <c r="D99" s="282"/>
      <c r="E99" s="282"/>
      <c r="F99" s="283">
        <v>0</v>
      </c>
    </row>
    <row r="100" spans="1:6" ht="22.5" thickBot="1">
      <c r="A100" s="368"/>
      <c r="B100" s="368"/>
      <c r="C100" s="368"/>
      <c r="D100" s="368"/>
      <c r="E100" s="368" t="s">
        <v>17</v>
      </c>
      <c r="F100" s="281">
        <f>SUM(F95:F99)</f>
        <v>98000</v>
      </c>
    </row>
    <row r="101" spans="1:6" ht="22.5" thickTop="1">
      <c r="A101" s="368"/>
      <c r="B101" s="368"/>
      <c r="C101" s="368"/>
      <c r="D101" s="368"/>
      <c r="E101" s="368"/>
      <c r="F101" s="279"/>
    </row>
    <row r="102" spans="1:6">
      <c r="A102" s="19" t="s">
        <v>369</v>
      </c>
      <c r="B102" s="3"/>
      <c r="C102" s="3"/>
      <c r="D102" s="367"/>
      <c r="E102" s="367"/>
      <c r="F102" s="280"/>
    </row>
    <row r="103" spans="1:6">
      <c r="A103" s="19"/>
      <c r="B103" s="3"/>
      <c r="C103" s="3"/>
      <c r="D103" s="367"/>
      <c r="E103" s="367"/>
      <c r="F103" s="280" t="s">
        <v>24</v>
      </c>
    </row>
    <row r="104" spans="1:6">
      <c r="B104" s="55" t="s">
        <v>26</v>
      </c>
      <c r="D104" s="72"/>
      <c r="E104" s="126"/>
      <c r="F104" s="126">
        <v>16622.330000000002</v>
      </c>
    </row>
    <row r="105" spans="1:6">
      <c r="B105" s="55" t="s">
        <v>68</v>
      </c>
      <c r="D105" s="72"/>
      <c r="E105" s="126"/>
      <c r="F105" s="126">
        <v>6197.5</v>
      </c>
    </row>
    <row r="106" spans="1:6">
      <c r="B106" s="55" t="s">
        <v>27</v>
      </c>
      <c r="D106" s="72"/>
      <c r="E106" s="126"/>
      <c r="F106" s="126">
        <v>918967</v>
      </c>
    </row>
    <row r="107" spans="1:6">
      <c r="B107" s="55" t="s">
        <v>69</v>
      </c>
      <c r="D107" s="72"/>
      <c r="E107" s="126"/>
      <c r="F107" s="126">
        <v>77100</v>
      </c>
    </row>
    <row r="108" spans="1:6">
      <c r="B108" s="55" t="s">
        <v>70</v>
      </c>
      <c r="D108" s="72"/>
      <c r="E108" s="126"/>
      <c r="F108" s="126">
        <v>205647.94</v>
      </c>
    </row>
    <row r="109" spans="1:6">
      <c r="B109" s="55" t="s">
        <v>230</v>
      </c>
      <c r="D109" s="72"/>
      <c r="E109" s="126"/>
      <c r="F109" s="126">
        <v>0</v>
      </c>
    </row>
    <row r="110" spans="1:6">
      <c r="B110" s="1" t="s">
        <v>261</v>
      </c>
      <c r="D110" s="72"/>
      <c r="E110" s="126"/>
      <c r="F110" s="126">
        <v>50</v>
      </c>
    </row>
    <row r="111" spans="1:6">
      <c r="B111" s="1" t="s">
        <v>459</v>
      </c>
      <c r="D111" s="72"/>
      <c r="E111" s="126"/>
      <c r="F111" s="126">
        <v>17955</v>
      </c>
    </row>
    <row r="112" spans="1:6" ht="22.5" thickBot="1">
      <c r="A112" s="3"/>
      <c r="B112" s="3"/>
      <c r="C112" s="3"/>
      <c r="D112" s="284"/>
      <c r="E112" s="3" t="s">
        <v>17</v>
      </c>
      <c r="F112" s="4">
        <f>SUM(F104:F111)</f>
        <v>1242539.77</v>
      </c>
    </row>
    <row r="113" ht="22.5" thickTop="1"/>
  </sheetData>
  <mergeCells count="15">
    <mergeCell ref="A90:F90"/>
    <mergeCell ref="A91:F91"/>
    <mergeCell ref="A92:F92"/>
    <mergeCell ref="A1:F1"/>
    <mergeCell ref="A2:F2"/>
    <mergeCell ref="A3:F3"/>
    <mergeCell ref="A44:F44"/>
    <mergeCell ref="A45:F45"/>
    <mergeCell ref="A67:F67"/>
    <mergeCell ref="A68:F68"/>
    <mergeCell ref="A69:F69"/>
    <mergeCell ref="A46:F46"/>
    <mergeCell ref="A22:F22"/>
    <mergeCell ref="A23:F23"/>
    <mergeCell ref="A24:F24"/>
  </mergeCells>
  <phoneticPr fontId="2" type="noConversion"/>
  <pageMargins left="0.74803149606299213" right="0.55118110236220474" top="0.98425196850393704" bottom="0.98425196850393704" header="0.51181102362204722" footer="0.51181102362204722"/>
  <pageSetup paperSize="9" orientation="portrait" r:id="rId1"/>
  <headerFooter alignWithMargins="0"/>
  <rowBreaks count="4" manualBreakCount="4">
    <brk id="21" max="5" man="1"/>
    <brk id="43" max="5" man="1"/>
    <brk id="66" max="5" man="1"/>
    <brk id="8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enableFormatConditionsCalculation="0">
    <tabColor rgb="FFC00000"/>
  </sheetPr>
  <dimension ref="A1:AA592"/>
  <sheetViews>
    <sheetView tabSelected="1" view="pageBreakPreview" topLeftCell="Q580" zoomScaleNormal="110" zoomScaleSheetLayoutView="100" workbookViewId="0">
      <selection activeCell="T583" sqref="T583"/>
    </sheetView>
  </sheetViews>
  <sheetFormatPr defaultRowHeight="21" customHeight="1"/>
  <cols>
    <col min="1" max="1" width="7" style="23" bestFit="1" customWidth="1"/>
    <col min="2" max="2" width="27.85546875" style="23" customWidth="1"/>
    <col min="3" max="3" width="12.85546875" style="23" customWidth="1"/>
    <col min="4" max="4" width="12.28515625" style="23" customWidth="1"/>
    <col min="5" max="5" width="12" style="23" customWidth="1"/>
    <col min="6" max="7" width="12.42578125" style="23" customWidth="1"/>
    <col min="8" max="8" width="12.5703125" style="23" customWidth="1"/>
    <col min="9" max="9" width="11.85546875" style="23" customWidth="1"/>
    <col min="10" max="10" width="12.7109375" style="23" customWidth="1"/>
    <col min="11" max="11" width="14.5703125" style="23" hidden="1" customWidth="1"/>
    <col min="12" max="12" width="11.42578125" style="23" customWidth="1"/>
    <col min="13" max="13" width="12.85546875" style="23" customWidth="1"/>
    <col min="14" max="15" width="12.28515625" style="23" customWidth="1"/>
    <col min="16" max="22" width="14.85546875" style="23" customWidth="1"/>
    <col min="23" max="23" width="14.28515625" style="23" customWidth="1"/>
    <col min="24" max="24" width="14.42578125" style="23" customWidth="1"/>
    <col min="25" max="25" width="14.28515625" style="23" customWidth="1"/>
    <col min="26" max="26" width="15.28515625" style="91" bestFit="1" customWidth="1"/>
    <col min="27" max="27" width="11.7109375" style="23" bestFit="1" customWidth="1"/>
    <col min="28" max="28" width="12.42578125" style="23" bestFit="1" customWidth="1"/>
    <col min="29" max="16384" width="9.140625" style="23"/>
  </cols>
  <sheetData>
    <row r="1" spans="1:25" ht="21" customHeight="1">
      <c r="A1" s="440" t="s">
        <v>253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266"/>
      <c r="P1" s="441" t="str">
        <f>+A1</f>
        <v>เทศบาลตำบลเขาพระ อำเภอพิปูน จังหวัดนครศรีธรรมราช</v>
      </c>
      <c r="Q1" s="441"/>
      <c r="R1" s="441"/>
      <c r="S1" s="441"/>
      <c r="T1" s="441"/>
      <c r="U1" s="441"/>
      <c r="V1" s="441"/>
      <c r="W1" s="441"/>
      <c r="X1" s="441"/>
      <c r="Y1" s="441"/>
    </row>
    <row r="2" spans="1:25" ht="21" customHeight="1">
      <c r="A2" s="440" t="s">
        <v>384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266"/>
      <c r="P2" s="442" t="s">
        <v>384</v>
      </c>
      <c r="Q2" s="442"/>
      <c r="R2" s="442"/>
      <c r="S2" s="442"/>
      <c r="T2" s="442"/>
      <c r="U2" s="442"/>
      <c r="V2" s="442"/>
      <c r="W2" s="442"/>
      <c r="X2" s="442"/>
      <c r="Y2" s="442"/>
    </row>
    <row r="3" spans="1:25" ht="21" customHeight="1">
      <c r="A3" s="443" t="s">
        <v>324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267"/>
      <c r="P3" s="444" t="s">
        <v>324</v>
      </c>
      <c r="Q3" s="444"/>
      <c r="R3" s="444"/>
      <c r="S3" s="444"/>
      <c r="T3" s="444"/>
      <c r="U3" s="444"/>
      <c r="V3" s="444"/>
      <c r="W3" s="444"/>
      <c r="X3" s="444"/>
      <c r="Y3" s="444"/>
    </row>
    <row r="4" spans="1:25" ht="21" customHeight="1">
      <c r="A4" s="435" t="s">
        <v>139</v>
      </c>
      <c r="B4" s="435"/>
      <c r="C4" s="434" t="s">
        <v>141</v>
      </c>
      <c r="D4" s="434"/>
      <c r="E4" s="437" t="s">
        <v>144</v>
      </c>
      <c r="F4" s="438"/>
      <c r="G4" s="434" t="s">
        <v>146</v>
      </c>
      <c r="H4" s="435"/>
      <c r="I4" s="437" t="s">
        <v>160</v>
      </c>
      <c r="J4" s="438"/>
      <c r="K4" s="264" t="s">
        <v>161</v>
      </c>
      <c r="L4" s="437" t="s">
        <v>162</v>
      </c>
      <c r="M4" s="439"/>
      <c r="N4" s="439"/>
      <c r="O4" s="438"/>
      <c r="P4" s="437" t="s">
        <v>163</v>
      </c>
      <c r="Q4" s="438"/>
      <c r="R4" s="437" t="s">
        <v>164</v>
      </c>
      <c r="S4" s="439"/>
      <c r="T4" s="438"/>
      <c r="U4" s="434" t="s">
        <v>165</v>
      </c>
      <c r="V4" s="435"/>
      <c r="W4" s="264" t="s">
        <v>212</v>
      </c>
      <c r="X4" s="264" t="s">
        <v>166</v>
      </c>
      <c r="Y4" s="436" t="s">
        <v>17</v>
      </c>
    </row>
    <row r="5" spans="1:25" ht="21" customHeight="1">
      <c r="A5" s="435" t="s">
        <v>140</v>
      </c>
      <c r="B5" s="435"/>
      <c r="C5" s="370" t="s">
        <v>142</v>
      </c>
      <c r="D5" s="264" t="s">
        <v>143</v>
      </c>
      <c r="E5" s="264" t="s">
        <v>145</v>
      </c>
      <c r="F5" s="264" t="s">
        <v>214</v>
      </c>
      <c r="G5" s="264" t="s">
        <v>147</v>
      </c>
      <c r="H5" s="264" t="s">
        <v>148</v>
      </c>
      <c r="I5" s="264" t="s">
        <v>149</v>
      </c>
      <c r="J5" s="264" t="s">
        <v>150</v>
      </c>
      <c r="K5" s="264" t="s">
        <v>151</v>
      </c>
      <c r="L5" s="264" t="s">
        <v>152</v>
      </c>
      <c r="M5" s="264" t="s">
        <v>153</v>
      </c>
      <c r="N5" s="264" t="s">
        <v>238</v>
      </c>
      <c r="O5" s="264" t="s">
        <v>331</v>
      </c>
      <c r="P5" s="265" t="s">
        <v>303</v>
      </c>
      <c r="Q5" s="265" t="s">
        <v>154</v>
      </c>
      <c r="R5" s="264" t="s">
        <v>155</v>
      </c>
      <c r="S5" s="264" t="s">
        <v>156</v>
      </c>
      <c r="T5" s="264" t="s">
        <v>216</v>
      </c>
      <c r="U5" s="264" t="s">
        <v>157</v>
      </c>
      <c r="V5" s="264" t="s">
        <v>158</v>
      </c>
      <c r="W5" s="264" t="s">
        <v>213</v>
      </c>
      <c r="X5" s="264" t="s">
        <v>159</v>
      </c>
      <c r="Y5" s="436"/>
    </row>
    <row r="6" spans="1:25" ht="21" customHeight="1">
      <c r="A6" s="432" t="s">
        <v>385</v>
      </c>
      <c r="B6" s="433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163"/>
      <c r="P6" s="163"/>
      <c r="Q6" s="163"/>
      <c r="R6" s="92"/>
      <c r="S6" s="92"/>
      <c r="T6" s="92"/>
      <c r="U6" s="92"/>
      <c r="V6" s="92"/>
      <c r="W6" s="92"/>
      <c r="X6" s="92"/>
      <c r="Y6" s="92"/>
    </row>
    <row r="7" spans="1:25" ht="21" customHeight="1">
      <c r="A7" s="314">
        <v>110100</v>
      </c>
      <c r="B7" s="311" t="s">
        <v>342</v>
      </c>
      <c r="C7" s="312"/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3"/>
      <c r="P7" s="313"/>
      <c r="Q7" s="313"/>
      <c r="R7" s="312"/>
      <c r="S7" s="312"/>
      <c r="T7" s="312"/>
      <c r="U7" s="312"/>
      <c r="V7" s="312"/>
      <c r="W7" s="312"/>
      <c r="X7" s="312"/>
      <c r="Y7" s="95">
        <f>SUM(C7:X7)</f>
        <v>0</v>
      </c>
    </row>
    <row r="8" spans="1:25" ht="21" customHeight="1">
      <c r="A8" s="314">
        <v>110200</v>
      </c>
      <c r="B8" s="311" t="s">
        <v>329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3"/>
      <c r="P8" s="313"/>
      <c r="Q8" s="313"/>
      <c r="R8" s="312"/>
      <c r="S8" s="312"/>
      <c r="T8" s="312"/>
      <c r="U8" s="312"/>
      <c r="V8" s="312"/>
      <c r="W8" s="312"/>
      <c r="X8" s="312"/>
      <c r="Y8" s="95">
        <f t="shared" ref="Y8" si="0">SUM(C8:X8)</f>
        <v>0</v>
      </c>
    </row>
    <row r="9" spans="1:25" ht="21" customHeight="1">
      <c r="A9" s="93">
        <v>110300</v>
      </c>
      <c r="B9" s="94" t="s">
        <v>167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64"/>
      <c r="P9" s="164"/>
      <c r="Q9" s="164"/>
      <c r="R9" s="70"/>
      <c r="S9" s="70"/>
      <c r="T9" s="70"/>
      <c r="U9" s="70"/>
      <c r="V9" s="70"/>
      <c r="W9" s="70"/>
      <c r="X9" s="70">
        <v>14350</v>
      </c>
      <c r="Y9" s="95">
        <f>SUM(C9:X9)</f>
        <v>14350</v>
      </c>
    </row>
    <row r="10" spans="1:25" ht="21" customHeight="1">
      <c r="A10" s="93">
        <v>110700</v>
      </c>
      <c r="B10" s="94" t="s">
        <v>101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164"/>
      <c r="P10" s="164"/>
      <c r="Q10" s="164"/>
      <c r="R10" s="70"/>
      <c r="S10" s="70"/>
      <c r="T10" s="70"/>
      <c r="U10" s="70"/>
      <c r="V10" s="70"/>
      <c r="W10" s="70"/>
      <c r="X10" s="70"/>
      <c r="Y10" s="95">
        <f t="shared" ref="Y10:Y15" si="1">SUM(C10:X10)</f>
        <v>0</v>
      </c>
    </row>
    <row r="11" spans="1:25" ht="21" customHeight="1">
      <c r="A11" s="93">
        <v>110800</v>
      </c>
      <c r="B11" s="94" t="s">
        <v>105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164"/>
      <c r="P11" s="164"/>
      <c r="Q11" s="164"/>
      <c r="R11" s="70"/>
      <c r="S11" s="70"/>
      <c r="T11" s="70"/>
      <c r="U11" s="70"/>
      <c r="V11" s="70"/>
      <c r="W11" s="70"/>
      <c r="X11" s="70"/>
      <c r="Y11" s="95">
        <f t="shared" si="1"/>
        <v>0</v>
      </c>
    </row>
    <row r="12" spans="1:25" ht="21" customHeight="1">
      <c r="A12" s="93">
        <v>110900</v>
      </c>
      <c r="B12" s="94" t="s">
        <v>106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164"/>
      <c r="P12" s="164"/>
      <c r="Q12" s="164"/>
      <c r="R12" s="70"/>
      <c r="S12" s="70"/>
      <c r="T12" s="70"/>
      <c r="U12" s="70"/>
      <c r="V12" s="70"/>
      <c r="W12" s="70"/>
      <c r="X12" s="70">
        <v>7500</v>
      </c>
      <c r="Y12" s="95">
        <f t="shared" si="1"/>
        <v>7500</v>
      </c>
    </row>
    <row r="13" spans="1:25" ht="21" customHeight="1">
      <c r="A13" s="93">
        <v>111000</v>
      </c>
      <c r="B13" s="94" t="s">
        <v>107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164"/>
      <c r="P13" s="164"/>
      <c r="Q13" s="164"/>
      <c r="R13" s="70"/>
      <c r="S13" s="70"/>
      <c r="T13" s="70"/>
      <c r="U13" s="70"/>
      <c r="V13" s="70"/>
      <c r="W13" s="70"/>
      <c r="X13" s="70"/>
      <c r="Y13" s="95">
        <f t="shared" si="1"/>
        <v>0</v>
      </c>
    </row>
    <row r="14" spans="1:25" ht="21" customHeight="1">
      <c r="A14" s="93">
        <v>111100</v>
      </c>
      <c r="B14" s="94" t="s">
        <v>330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164"/>
      <c r="P14" s="164"/>
      <c r="Q14" s="164"/>
      <c r="R14" s="70"/>
      <c r="S14" s="70"/>
      <c r="T14" s="70"/>
      <c r="U14" s="70"/>
      <c r="V14" s="70"/>
      <c r="W14" s="70"/>
      <c r="X14" s="70"/>
      <c r="Y14" s="95">
        <f t="shared" si="1"/>
        <v>0</v>
      </c>
    </row>
    <row r="15" spans="1:25" ht="21" customHeight="1">
      <c r="A15" s="93">
        <v>111100</v>
      </c>
      <c r="B15" s="94" t="s">
        <v>297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164"/>
      <c r="P15" s="164"/>
      <c r="Q15" s="164"/>
      <c r="R15" s="70"/>
      <c r="S15" s="70"/>
      <c r="T15" s="70"/>
      <c r="U15" s="70"/>
      <c r="V15" s="70"/>
      <c r="W15" s="70"/>
      <c r="X15" s="70"/>
      <c r="Y15" s="95">
        <f t="shared" si="1"/>
        <v>0</v>
      </c>
    </row>
    <row r="16" spans="1:25" ht="21" customHeight="1">
      <c r="A16" s="96">
        <v>120100</v>
      </c>
      <c r="B16" s="97" t="s">
        <v>168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165"/>
      <c r="P16" s="165"/>
      <c r="Q16" s="165"/>
      <c r="R16" s="76"/>
      <c r="S16" s="76"/>
      <c r="T16" s="76"/>
      <c r="U16" s="76"/>
      <c r="V16" s="76"/>
      <c r="W16" s="76"/>
      <c r="X16" s="76"/>
      <c r="Y16" s="98">
        <f>SUM(C16:X16)</f>
        <v>0</v>
      </c>
    </row>
    <row r="17" spans="1:25" ht="21" customHeight="1">
      <c r="A17" s="426" t="s">
        <v>174</v>
      </c>
      <c r="B17" s="427"/>
      <c r="C17" s="95">
        <f>SUM(C7:C16)</f>
        <v>0</v>
      </c>
      <c r="D17" s="95">
        <f t="shared" ref="D17:W17" si="2">SUM(D7:D16)</f>
        <v>0</v>
      </c>
      <c r="E17" s="95">
        <f t="shared" si="2"/>
        <v>0</v>
      </c>
      <c r="F17" s="95">
        <f t="shared" si="2"/>
        <v>0</v>
      </c>
      <c r="G17" s="95">
        <f t="shared" si="2"/>
        <v>0</v>
      </c>
      <c r="H17" s="95">
        <f t="shared" si="2"/>
        <v>0</v>
      </c>
      <c r="I17" s="95">
        <f t="shared" si="2"/>
        <v>0</v>
      </c>
      <c r="J17" s="95">
        <f t="shared" si="2"/>
        <v>0</v>
      </c>
      <c r="K17" s="95">
        <f t="shared" si="2"/>
        <v>0</v>
      </c>
      <c r="L17" s="95">
        <f t="shared" si="2"/>
        <v>0</v>
      </c>
      <c r="M17" s="95">
        <f t="shared" si="2"/>
        <v>0</v>
      </c>
      <c r="N17" s="95">
        <f t="shared" si="2"/>
        <v>0</v>
      </c>
      <c r="O17" s="95">
        <f t="shared" si="2"/>
        <v>0</v>
      </c>
      <c r="P17" s="95">
        <f t="shared" si="2"/>
        <v>0</v>
      </c>
      <c r="Q17" s="95">
        <f t="shared" si="2"/>
        <v>0</v>
      </c>
      <c r="R17" s="95">
        <f t="shared" si="2"/>
        <v>0</v>
      </c>
      <c r="S17" s="95">
        <f t="shared" si="2"/>
        <v>0</v>
      </c>
      <c r="T17" s="95">
        <f t="shared" si="2"/>
        <v>0</v>
      </c>
      <c r="U17" s="95">
        <f t="shared" si="2"/>
        <v>0</v>
      </c>
      <c r="V17" s="95">
        <f t="shared" si="2"/>
        <v>0</v>
      </c>
      <c r="W17" s="95">
        <f t="shared" si="2"/>
        <v>0</v>
      </c>
      <c r="X17" s="95">
        <f>SUM(X7:X16)</f>
        <v>21850</v>
      </c>
      <c r="Y17" s="95">
        <f>SUM(C17:X17)</f>
        <v>21850</v>
      </c>
    </row>
    <row r="18" spans="1:25" ht="21" customHeight="1">
      <c r="A18" s="428" t="s">
        <v>175</v>
      </c>
      <c r="B18" s="429"/>
      <c r="C18" s="99">
        <f>+C17</f>
        <v>0</v>
      </c>
      <c r="D18" s="99">
        <f t="shared" ref="D18:X18" si="3">+D17</f>
        <v>0</v>
      </c>
      <c r="E18" s="99">
        <f t="shared" si="3"/>
        <v>0</v>
      </c>
      <c r="F18" s="99">
        <f t="shared" si="3"/>
        <v>0</v>
      </c>
      <c r="G18" s="99">
        <f t="shared" si="3"/>
        <v>0</v>
      </c>
      <c r="H18" s="99">
        <f t="shared" si="3"/>
        <v>0</v>
      </c>
      <c r="I18" s="99">
        <f t="shared" si="3"/>
        <v>0</v>
      </c>
      <c r="J18" s="99">
        <f t="shared" si="3"/>
        <v>0</v>
      </c>
      <c r="K18" s="99">
        <f t="shared" si="3"/>
        <v>0</v>
      </c>
      <c r="L18" s="99">
        <f t="shared" si="3"/>
        <v>0</v>
      </c>
      <c r="M18" s="99">
        <f t="shared" si="3"/>
        <v>0</v>
      </c>
      <c r="N18" s="99">
        <f t="shared" si="3"/>
        <v>0</v>
      </c>
      <c r="O18" s="99">
        <f t="shared" si="3"/>
        <v>0</v>
      </c>
      <c r="P18" s="99">
        <f t="shared" si="3"/>
        <v>0</v>
      </c>
      <c r="Q18" s="99">
        <f t="shared" si="3"/>
        <v>0</v>
      </c>
      <c r="R18" s="99">
        <f t="shared" si="3"/>
        <v>0</v>
      </c>
      <c r="S18" s="99">
        <f t="shared" si="3"/>
        <v>0</v>
      </c>
      <c r="T18" s="99">
        <f t="shared" si="3"/>
        <v>0</v>
      </c>
      <c r="U18" s="99">
        <f t="shared" si="3"/>
        <v>0</v>
      </c>
      <c r="V18" s="99">
        <f t="shared" si="3"/>
        <v>0</v>
      </c>
      <c r="W18" s="99">
        <f t="shared" si="3"/>
        <v>0</v>
      </c>
      <c r="X18" s="99">
        <f t="shared" si="3"/>
        <v>21850</v>
      </c>
      <c r="Y18" s="99">
        <f>+Y17</f>
        <v>21850</v>
      </c>
    </row>
    <row r="19" spans="1:25" ht="21" customHeight="1">
      <c r="A19" s="432" t="s">
        <v>386</v>
      </c>
      <c r="B19" s="433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67"/>
      <c r="P19" s="167"/>
      <c r="Q19" s="167"/>
      <c r="R19" s="100"/>
      <c r="S19" s="100"/>
      <c r="T19" s="100"/>
      <c r="U19" s="100"/>
      <c r="V19" s="100"/>
      <c r="W19" s="100"/>
      <c r="X19" s="100"/>
      <c r="Y19" s="101">
        <f t="shared" ref="Y19:Y24" si="4">SUM(C19:X19)</f>
        <v>0</v>
      </c>
    </row>
    <row r="20" spans="1:25" ht="21" customHeight="1">
      <c r="A20" s="93">
        <v>210100</v>
      </c>
      <c r="B20" s="68" t="s">
        <v>169</v>
      </c>
      <c r="C20" s="70">
        <v>57960</v>
      </c>
      <c r="D20" s="70">
        <v>0</v>
      </c>
      <c r="E20" s="70"/>
      <c r="F20" s="70"/>
      <c r="G20" s="70"/>
      <c r="H20" s="70"/>
      <c r="I20" s="70"/>
      <c r="J20" s="70"/>
      <c r="K20" s="70"/>
      <c r="L20" s="70">
        <v>0</v>
      </c>
      <c r="M20" s="70"/>
      <c r="N20" s="70"/>
      <c r="O20" s="164"/>
      <c r="P20" s="164"/>
      <c r="Q20" s="164"/>
      <c r="R20" s="70"/>
      <c r="S20" s="70"/>
      <c r="T20" s="70"/>
      <c r="U20" s="70"/>
      <c r="V20" s="70"/>
      <c r="W20" s="70"/>
      <c r="X20" s="70"/>
      <c r="Y20" s="95">
        <f t="shared" si="4"/>
        <v>57960</v>
      </c>
    </row>
    <row r="21" spans="1:25" ht="21" customHeight="1">
      <c r="A21" s="93">
        <v>210200</v>
      </c>
      <c r="B21" s="68" t="s">
        <v>173</v>
      </c>
      <c r="C21" s="70">
        <v>10000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164"/>
      <c r="P21" s="164"/>
      <c r="Q21" s="164"/>
      <c r="R21" s="70"/>
      <c r="S21" s="70"/>
      <c r="T21" s="70"/>
      <c r="U21" s="70"/>
      <c r="V21" s="70"/>
      <c r="W21" s="70"/>
      <c r="X21" s="70"/>
      <c r="Y21" s="95">
        <f t="shared" si="4"/>
        <v>10000</v>
      </c>
    </row>
    <row r="22" spans="1:25" ht="21" customHeight="1">
      <c r="A22" s="93">
        <v>210300</v>
      </c>
      <c r="B22" s="68" t="s">
        <v>170</v>
      </c>
      <c r="C22" s="70">
        <v>10000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164"/>
      <c r="P22" s="164"/>
      <c r="Q22" s="164"/>
      <c r="R22" s="70"/>
      <c r="S22" s="70"/>
      <c r="T22" s="70"/>
      <c r="U22" s="70"/>
      <c r="V22" s="70"/>
      <c r="W22" s="70"/>
      <c r="X22" s="70"/>
      <c r="Y22" s="95">
        <f t="shared" si="4"/>
        <v>10000</v>
      </c>
    </row>
    <row r="23" spans="1:25" ht="21" customHeight="1">
      <c r="A23" s="93">
        <v>210400</v>
      </c>
      <c r="B23" s="68" t="s">
        <v>171</v>
      </c>
      <c r="C23" s="70">
        <v>16560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164"/>
      <c r="P23" s="164"/>
      <c r="Q23" s="164"/>
      <c r="R23" s="70"/>
      <c r="S23" s="70"/>
      <c r="T23" s="70"/>
      <c r="U23" s="70"/>
      <c r="V23" s="70"/>
      <c r="W23" s="70"/>
      <c r="X23" s="70"/>
      <c r="Y23" s="95">
        <f t="shared" si="4"/>
        <v>16560</v>
      </c>
    </row>
    <row r="24" spans="1:25" ht="21" customHeight="1">
      <c r="A24" s="96">
        <v>210600</v>
      </c>
      <c r="B24" s="69" t="s">
        <v>172</v>
      </c>
      <c r="C24" s="70">
        <v>124200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165"/>
      <c r="P24" s="165"/>
      <c r="Q24" s="165"/>
      <c r="R24" s="76"/>
      <c r="S24" s="76"/>
      <c r="T24" s="76"/>
      <c r="U24" s="76"/>
      <c r="V24" s="76"/>
      <c r="W24" s="76"/>
      <c r="X24" s="76"/>
      <c r="Y24" s="98">
        <f t="shared" si="4"/>
        <v>124200</v>
      </c>
    </row>
    <row r="25" spans="1:25" ht="21" customHeight="1">
      <c r="A25" s="426" t="s">
        <v>174</v>
      </c>
      <c r="B25" s="427"/>
      <c r="C25" s="95">
        <f>SUM(C20:C24)</f>
        <v>218720</v>
      </c>
      <c r="D25" s="95">
        <f>SUM(D19:D24)</f>
        <v>0</v>
      </c>
      <c r="E25" s="95">
        <f>SUM(E19:E24)</f>
        <v>0</v>
      </c>
      <c r="F25" s="95">
        <f t="shared" ref="F25:L25" si="5">SUM(F19:F24)</f>
        <v>0</v>
      </c>
      <c r="G25" s="95">
        <f t="shared" si="5"/>
        <v>0</v>
      </c>
      <c r="H25" s="95">
        <f t="shared" si="5"/>
        <v>0</v>
      </c>
      <c r="I25" s="95">
        <f t="shared" si="5"/>
        <v>0</v>
      </c>
      <c r="J25" s="95">
        <f t="shared" si="5"/>
        <v>0</v>
      </c>
      <c r="K25" s="95">
        <f t="shared" si="5"/>
        <v>0</v>
      </c>
      <c r="L25" s="95">
        <f t="shared" si="5"/>
        <v>0</v>
      </c>
      <c r="M25" s="95">
        <f>SUM(M19:M24)</f>
        <v>0</v>
      </c>
      <c r="N25" s="95">
        <f>SUM(N19:N24)</f>
        <v>0</v>
      </c>
      <c r="O25" s="95">
        <f>SUM(O19:O24)</f>
        <v>0</v>
      </c>
      <c r="P25" s="95">
        <f t="shared" ref="P25:Q25" si="6">SUM(P19:P24)</f>
        <v>0</v>
      </c>
      <c r="Q25" s="95">
        <f t="shared" si="6"/>
        <v>0</v>
      </c>
      <c r="R25" s="95">
        <f>SUM(R19:R24)</f>
        <v>0</v>
      </c>
      <c r="S25" s="95">
        <f>SUM(S19:S24)</f>
        <v>0</v>
      </c>
      <c r="T25" s="95"/>
      <c r="U25" s="95">
        <f>SUM(U19:U24)</f>
        <v>0</v>
      </c>
      <c r="V25" s="95">
        <f>SUM(V19:V24)</f>
        <v>0</v>
      </c>
      <c r="W25" s="95">
        <f>SUM(W19:W24)</f>
        <v>0</v>
      </c>
      <c r="X25" s="95">
        <f>SUM(X19:X24)</f>
        <v>0</v>
      </c>
      <c r="Y25" s="95">
        <f>SUM(C25:X25)</f>
        <v>218720</v>
      </c>
    </row>
    <row r="26" spans="1:25" ht="21" customHeight="1">
      <c r="A26" s="428" t="s">
        <v>175</v>
      </c>
      <c r="B26" s="429"/>
      <c r="C26" s="95">
        <f>+C25</f>
        <v>218720</v>
      </c>
      <c r="D26" s="95">
        <f t="shared" ref="D26:X26" si="7">+D25</f>
        <v>0</v>
      </c>
      <c r="E26" s="95">
        <f t="shared" si="7"/>
        <v>0</v>
      </c>
      <c r="F26" s="95">
        <f t="shared" si="7"/>
        <v>0</v>
      </c>
      <c r="G26" s="95">
        <f t="shared" si="7"/>
        <v>0</v>
      </c>
      <c r="H26" s="95">
        <f t="shared" si="7"/>
        <v>0</v>
      </c>
      <c r="I26" s="95">
        <f t="shared" si="7"/>
        <v>0</v>
      </c>
      <c r="J26" s="95">
        <f t="shared" si="7"/>
        <v>0</v>
      </c>
      <c r="K26" s="95">
        <f t="shared" si="7"/>
        <v>0</v>
      </c>
      <c r="L26" s="95">
        <f t="shared" si="7"/>
        <v>0</v>
      </c>
      <c r="M26" s="95">
        <f t="shared" si="7"/>
        <v>0</v>
      </c>
      <c r="N26" s="95">
        <f t="shared" si="7"/>
        <v>0</v>
      </c>
      <c r="O26" s="95">
        <f t="shared" si="7"/>
        <v>0</v>
      </c>
      <c r="P26" s="95">
        <f t="shared" si="7"/>
        <v>0</v>
      </c>
      <c r="Q26" s="95">
        <f t="shared" si="7"/>
        <v>0</v>
      </c>
      <c r="R26" s="95">
        <f t="shared" si="7"/>
        <v>0</v>
      </c>
      <c r="S26" s="95">
        <f t="shared" si="7"/>
        <v>0</v>
      </c>
      <c r="T26" s="95">
        <f t="shared" si="7"/>
        <v>0</v>
      </c>
      <c r="U26" s="95">
        <f t="shared" si="7"/>
        <v>0</v>
      </c>
      <c r="V26" s="95">
        <f t="shared" si="7"/>
        <v>0</v>
      </c>
      <c r="W26" s="95">
        <f t="shared" si="7"/>
        <v>0</v>
      </c>
      <c r="X26" s="95">
        <f t="shared" si="7"/>
        <v>0</v>
      </c>
      <c r="Y26" s="95">
        <f>+Y25</f>
        <v>218720</v>
      </c>
    </row>
    <row r="27" spans="1:25" ht="21" customHeight="1">
      <c r="A27" s="432" t="s">
        <v>387</v>
      </c>
      <c r="B27" s="433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67"/>
      <c r="P27" s="167"/>
      <c r="Q27" s="167"/>
      <c r="R27" s="100"/>
      <c r="S27" s="100"/>
      <c r="T27" s="100"/>
      <c r="U27" s="100"/>
      <c r="V27" s="100"/>
      <c r="W27" s="100"/>
      <c r="X27" s="100"/>
      <c r="Y27" s="101">
        <f t="shared" ref="Y27" si="8">SUM(C27:X27)</f>
        <v>0</v>
      </c>
    </row>
    <row r="28" spans="1:25" ht="21" customHeight="1">
      <c r="A28" s="93">
        <v>220100</v>
      </c>
      <c r="B28" s="68" t="s">
        <v>176</v>
      </c>
      <c r="C28" s="70">
        <v>160727</v>
      </c>
      <c r="D28" s="70">
        <v>75191.61</v>
      </c>
      <c r="E28" s="70">
        <v>21880</v>
      </c>
      <c r="F28" s="70"/>
      <c r="G28" s="70">
        <v>23370</v>
      </c>
      <c r="H28" s="70"/>
      <c r="I28" s="70"/>
      <c r="J28" s="70"/>
      <c r="K28" s="70"/>
      <c r="L28" s="70">
        <v>50950</v>
      </c>
      <c r="M28" s="70"/>
      <c r="N28" s="237"/>
      <c r="O28" s="268"/>
      <c r="P28" s="164">
        <v>18950</v>
      </c>
      <c r="Q28" s="164"/>
      <c r="R28" s="70"/>
      <c r="S28" s="70"/>
      <c r="T28" s="70"/>
      <c r="U28" s="70"/>
      <c r="V28" s="70"/>
      <c r="W28" s="70"/>
      <c r="X28" s="70"/>
      <c r="Y28" s="95">
        <f>SUM(C28:X28)</f>
        <v>351068.61</v>
      </c>
    </row>
    <row r="29" spans="1:25" ht="21" customHeight="1">
      <c r="A29" s="93">
        <v>220200</v>
      </c>
      <c r="B29" s="68" t="s">
        <v>177</v>
      </c>
      <c r="C29" s="70">
        <v>5600</v>
      </c>
      <c r="D29" s="70">
        <v>550</v>
      </c>
      <c r="E29" s="70"/>
      <c r="F29" s="70"/>
      <c r="G29" s="70"/>
      <c r="H29" s="70"/>
      <c r="I29" s="70"/>
      <c r="J29" s="70"/>
      <c r="K29" s="70"/>
      <c r="L29" s="70"/>
      <c r="M29" s="70"/>
      <c r="N29" s="238"/>
      <c r="O29" s="94"/>
      <c r="P29" s="164"/>
      <c r="Q29" s="164"/>
      <c r="R29" s="70"/>
      <c r="S29" s="70"/>
      <c r="T29" s="70"/>
      <c r="U29" s="70"/>
      <c r="V29" s="70"/>
      <c r="W29" s="70"/>
      <c r="X29" s="70"/>
      <c r="Y29" s="95">
        <f t="shared" ref="Y29:Y32" si="9">SUM(C29:X29)</f>
        <v>6150</v>
      </c>
    </row>
    <row r="30" spans="1:25" ht="21" customHeight="1">
      <c r="A30" s="93">
        <v>220300</v>
      </c>
      <c r="B30" s="68" t="s">
        <v>178</v>
      </c>
      <c r="C30" s="70">
        <v>9100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238"/>
      <c r="O30" s="94"/>
      <c r="P30" s="164"/>
      <c r="Q30" s="164"/>
      <c r="R30" s="70"/>
      <c r="S30" s="70"/>
      <c r="T30" s="70"/>
      <c r="U30" s="70"/>
      <c r="V30" s="70"/>
      <c r="W30" s="70"/>
      <c r="X30" s="70"/>
      <c r="Y30" s="95">
        <f t="shared" si="9"/>
        <v>9100</v>
      </c>
    </row>
    <row r="31" spans="1:25" ht="21" customHeight="1">
      <c r="A31" s="93">
        <v>220500</v>
      </c>
      <c r="B31" s="68" t="s">
        <v>3</v>
      </c>
      <c r="C31" s="70"/>
      <c r="D31" s="70">
        <v>32710</v>
      </c>
      <c r="E31" s="70"/>
      <c r="F31" s="70"/>
      <c r="G31" s="70"/>
      <c r="H31" s="70"/>
      <c r="I31" s="70"/>
      <c r="J31" s="70"/>
      <c r="K31" s="70"/>
      <c r="L31" s="70"/>
      <c r="M31" s="70"/>
      <c r="N31" s="238"/>
      <c r="O31" s="94"/>
      <c r="P31" s="164"/>
      <c r="Q31" s="164"/>
      <c r="R31" s="70"/>
      <c r="S31" s="70"/>
      <c r="T31" s="70"/>
      <c r="U31" s="70"/>
      <c r="V31" s="70"/>
      <c r="W31" s="70"/>
      <c r="X31" s="70"/>
      <c r="Y31" s="95">
        <f t="shared" si="9"/>
        <v>32710</v>
      </c>
    </row>
    <row r="32" spans="1:25" ht="21" customHeight="1">
      <c r="A32" s="93">
        <v>220600</v>
      </c>
      <c r="B32" s="68" t="s">
        <v>179</v>
      </c>
      <c r="C32" s="70">
        <v>0</v>
      </c>
      <c r="D32" s="70">
        <v>0</v>
      </c>
      <c r="E32" s="70"/>
      <c r="F32" s="70"/>
      <c r="G32" s="70"/>
      <c r="H32" s="70"/>
      <c r="I32" s="70"/>
      <c r="J32" s="70"/>
      <c r="K32" s="70"/>
      <c r="L32" s="70">
        <v>0</v>
      </c>
      <c r="M32" s="70"/>
      <c r="N32" s="239"/>
      <c r="O32" s="165"/>
      <c r="P32" s="164"/>
      <c r="Q32" s="164"/>
      <c r="R32" s="70"/>
      <c r="S32" s="70"/>
      <c r="T32" s="70"/>
      <c r="U32" s="70"/>
      <c r="V32" s="70"/>
      <c r="W32" s="70"/>
      <c r="X32" s="70"/>
      <c r="Y32" s="95">
        <f t="shared" si="9"/>
        <v>0</v>
      </c>
    </row>
    <row r="33" spans="1:25" ht="21" customHeight="1">
      <c r="A33" s="435" t="s">
        <v>139</v>
      </c>
      <c r="B33" s="435"/>
      <c r="C33" s="434" t="s">
        <v>141</v>
      </c>
      <c r="D33" s="434"/>
      <c r="E33" s="437" t="s">
        <v>144</v>
      </c>
      <c r="F33" s="438"/>
      <c r="G33" s="434" t="s">
        <v>146</v>
      </c>
      <c r="H33" s="435"/>
      <c r="I33" s="437" t="s">
        <v>160</v>
      </c>
      <c r="J33" s="438"/>
      <c r="K33" s="264" t="s">
        <v>161</v>
      </c>
      <c r="L33" s="437" t="s">
        <v>162</v>
      </c>
      <c r="M33" s="439"/>
      <c r="N33" s="439"/>
      <c r="O33" s="438"/>
      <c r="P33" s="437" t="s">
        <v>163</v>
      </c>
      <c r="Q33" s="438"/>
      <c r="R33" s="437" t="s">
        <v>164</v>
      </c>
      <c r="S33" s="439"/>
      <c r="T33" s="438"/>
      <c r="U33" s="434" t="s">
        <v>165</v>
      </c>
      <c r="V33" s="435"/>
      <c r="W33" s="264" t="s">
        <v>212</v>
      </c>
      <c r="X33" s="264" t="s">
        <v>166</v>
      </c>
      <c r="Y33" s="436" t="s">
        <v>17</v>
      </c>
    </row>
    <row r="34" spans="1:25" ht="21" customHeight="1">
      <c r="A34" s="435" t="s">
        <v>140</v>
      </c>
      <c r="B34" s="435"/>
      <c r="C34" s="370" t="s">
        <v>142</v>
      </c>
      <c r="D34" s="264" t="s">
        <v>143</v>
      </c>
      <c r="E34" s="264" t="s">
        <v>145</v>
      </c>
      <c r="F34" s="264" t="s">
        <v>214</v>
      </c>
      <c r="G34" s="264" t="s">
        <v>147</v>
      </c>
      <c r="H34" s="264" t="s">
        <v>148</v>
      </c>
      <c r="I34" s="264" t="s">
        <v>149</v>
      </c>
      <c r="J34" s="264" t="s">
        <v>150</v>
      </c>
      <c r="K34" s="264" t="s">
        <v>151</v>
      </c>
      <c r="L34" s="264" t="s">
        <v>152</v>
      </c>
      <c r="M34" s="264" t="s">
        <v>153</v>
      </c>
      <c r="N34" s="264" t="s">
        <v>238</v>
      </c>
      <c r="O34" s="264" t="s">
        <v>331</v>
      </c>
      <c r="P34" s="265" t="s">
        <v>303</v>
      </c>
      <c r="Q34" s="265" t="s">
        <v>154</v>
      </c>
      <c r="R34" s="264" t="s">
        <v>155</v>
      </c>
      <c r="S34" s="264" t="s">
        <v>156</v>
      </c>
      <c r="T34" s="264" t="s">
        <v>216</v>
      </c>
      <c r="U34" s="264" t="s">
        <v>157</v>
      </c>
      <c r="V34" s="264" t="s">
        <v>158</v>
      </c>
      <c r="W34" s="264" t="s">
        <v>213</v>
      </c>
      <c r="X34" s="264" t="s">
        <v>159</v>
      </c>
      <c r="Y34" s="436"/>
    </row>
    <row r="35" spans="1:25" ht="21" customHeight="1">
      <c r="A35" s="93">
        <v>220700</v>
      </c>
      <c r="B35" s="68" t="s">
        <v>180</v>
      </c>
      <c r="C35" s="70">
        <v>105280</v>
      </c>
      <c r="D35" s="70">
        <v>31550</v>
      </c>
      <c r="E35" s="70">
        <v>9400</v>
      </c>
      <c r="F35" s="70"/>
      <c r="G35" s="70">
        <v>44100</v>
      </c>
      <c r="H35" s="74"/>
      <c r="I35" s="70">
        <v>37410</v>
      </c>
      <c r="J35" s="70"/>
      <c r="K35" s="70"/>
      <c r="L35" s="70">
        <v>42870</v>
      </c>
      <c r="M35" s="70"/>
      <c r="N35" s="70"/>
      <c r="O35" s="164"/>
      <c r="P35" s="164">
        <v>34021</v>
      </c>
      <c r="Q35" s="164"/>
      <c r="R35" s="70"/>
      <c r="S35" s="70"/>
      <c r="T35" s="70"/>
      <c r="U35" s="70"/>
      <c r="V35" s="70"/>
      <c r="W35" s="70"/>
      <c r="X35" s="70"/>
      <c r="Y35" s="95">
        <f>SUM(C35:X35)</f>
        <v>304631</v>
      </c>
    </row>
    <row r="36" spans="1:25" ht="21" customHeight="1">
      <c r="A36" s="96">
        <v>220800</v>
      </c>
      <c r="B36" s="69" t="s">
        <v>181</v>
      </c>
      <c r="C36" s="70">
        <v>13000</v>
      </c>
      <c r="D36" s="76">
        <v>2000</v>
      </c>
      <c r="E36" s="76">
        <v>2000</v>
      </c>
      <c r="F36" s="76"/>
      <c r="G36" s="76">
        <v>1000</v>
      </c>
      <c r="H36" s="123"/>
      <c r="I36" s="76">
        <v>2000</v>
      </c>
      <c r="J36" s="76"/>
      <c r="K36" s="76"/>
      <c r="L36" s="70">
        <v>7000</v>
      </c>
      <c r="M36" s="76"/>
      <c r="N36" s="76"/>
      <c r="O36" s="165"/>
      <c r="P36" s="165">
        <v>2000</v>
      </c>
      <c r="Q36" s="165"/>
      <c r="R36" s="76"/>
      <c r="S36" s="76"/>
      <c r="T36" s="76"/>
      <c r="U36" s="76"/>
      <c r="V36" s="76"/>
      <c r="W36" s="76"/>
      <c r="X36" s="76"/>
      <c r="Y36" s="95">
        <f>SUM(C36:X36)</f>
        <v>29000</v>
      </c>
    </row>
    <row r="37" spans="1:25" ht="21" customHeight="1">
      <c r="A37" s="426" t="s">
        <v>174</v>
      </c>
      <c r="B37" s="427"/>
      <c r="C37" s="95">
        <f>SUM(C27:C36)</f>
        <v>293707</v>
      </c>
      <c r="D37" s="95">
        <f t="shared" ref="D37:Y37" si="10">SUM(D27:D36)</f>
        <v>142001.60999999999</v>
      </c>
      <c r="E37" s="95">
        <f t="shared" si="10"/>
        <v>33280</v>
      </c>
      <c r="F37" s="95">
        <f t="shared" si="10"/>
        <v>0</v>
      </c>
      <c r="G37" s="95">
        <f t="shared" si="10"/>
        <v>68470</v>
      </c>
      <c r="H37" s="95">
        <f t="shared" si="10"/>
        <v>0</v>
      </c>
      <c r="I37" s="95">
        <f t="shared" si="10"/>
        <v>39410</v>
      </c>
      <c r="J37" s="95">
        <f t="shared" si="10"/>
        <v>0</v>
      </c>
      <c r="K37" s="95">
        <f t="shared" si="10"/>
        <v>0</v>
      </c>
      <c r="L37" s="95">
        <f t="shared" si="10"/>
        <v>100820</v>
      </c>
      <c r="M37" s="95">
        <f t="shared" si="10"/>
        <v>0</v>
      </c>
      <c r="N37" s="95">
        <f t="shared" si="10"/>
        <v>0</v>
      </c>
      <c r="O37" s="95">
        <f t="shared" ref="O37" si="11">SUM(O27:O36)</f>
        <v>0</v>
      </c>
      <c r="P37" s="95">
        <f t="shared" si="10"/>
        <v>54971</v>
      </c>
      <c r="Q37" s="95">
        <f t="shared" si="10"/>
        <v>0</v>
      </c>
      <c r="R37" s="95">
        <f t="shared" si="10"/>
        <v>0</v>
      </c>
      <c r="S37" s="95">
        <f t="shared" si="10"/>
        <v>0</v>
      </c>
      <c r="T37" s="95">
        <f t="shared" si="10"/>
        <v>0</v>
      </c>
      <c r="U37" s="95">
        <f t="shared" si="10"/>
        <v>0</v>
      </c>
      <c r="V37" s="95">
        <f t="shared" si="10"/>
        <v>0</v>
      </c>
      <c r="W37" s="95">
        <f t="shared" si="10"/>
        <v>0</v>
      </c>
      <c r="X37" s="95">
        <f t="shared" si="10"/>
        <v>0</v>
      </c>
      <c r="Y37" s="95">
        <f t="shared" si="10"/>
        <v>732659.61</v>
      </c>
    </row>
    <row r="38" spans="1:25" ht="21" customHeight="1">
      <c r="A38" s="428" t="s">
        <v>175</v>
      </c>
      <c r="B38" s="429"/>
      <c r="C38" s="99">
        <f>+C37</f>
        <v>293707</v>
      </c>
      <c r="D38" s="99">
        <f t="shared" ref="D38:X38" si="12">+D37</f>
        <v>142001.60999999999</v>
      </c>
      <c r="E38" s="99">
        <f t="shared" si="12"/>
        <v>33280</v>
      </c>
      <c r="F38" s="99">
        <f t="shared" si="12"/>
        <v>0</v>
      </c>
      <c r="G38" s="99">
        <f t="shared" si="12"/>
        <v>68470</v>
      </c>
      <c r="H38" s="99">
        <f t="shared" si="12"/>
        <v>0</v>
      </c>
      <c r="I38" s="99">
        <f t="shared" si="12"/>
        <v>39410</v>
      </c>
      <c r="J38" s="99">
        <f t="shared" si="12"/>
        <v>0</v>
      </c>
      <c r="K38" s="99">
        <f t="shared" si="12"/>
        <v>0</v>
      </c>
      <c r="L38" s="99">
        <f t="shared" si="12"/>
        <v>100820</v>
      </c>
      <c r="M38" s="99">
        <f t="shared" si="12"/>
        <v>0</v>
      </c>
      <c r="N38" s="99">
        <f t="shared" si="12"/>
        <v>0</v>
      </c>
      <c r="O38" s="99">
        <f t="shared" si="12"/>
        <v>0</v>
      </c>
      <c r="P38" s="99">
        <f t="shared" si="12"/>
        <v>54971</v>
      </c>
      <c r="Q38" s="99">
        <f t="shared" si="12"/>
        <v>0</v>
      </c>
      <c r="R38" s="99">
        <f t="shared" si="12"/>
        <v>0</v>
      </c>
      <c r="S38" s="99">
        <f t="shared" si="12"/>
        <v>0</v>
      </c>
      <c r="T38" s="99">
        <f t="shared" si="12"/>
        <v>0</v>
      </c>
      <c r="U38" s="99">
        <f t="shared" si="12"/>
        <v>0</v>
      </c>
      <c r="V38" s="99">
        <f t="shared" si="12"/>
        <v>0</v>
      </c>
      <c r="W38" s="99">
        <f t="shared" si="12"/>
        <v>0</v>
      </c>
      <c r="X38" s="99">
        <f t="shared" si="12"/>
        <v>0</v>
      </c>
      <c r="Y38" s="99">
        <f>+Y37</f>
        <v>732659.61</v>
      </c>
    </row>
    <row r="39" spans="1:25" ht="21" customHeight="1">
      <c r="A39" s="432" t="s">
        <v>388</v>
      </c>
      <c r="B39" s="433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67"/>
      <c r="P39" s="167"/>
      <c r="Q39" s="167"/>
      <c r="R39" s="100"/>
      <c r="S39" s="100"/>
      <c r="T39" s="100"/>
      <c r="U39" s="100"/>
      <c r="V39" s="100"/>
      <c r="W39" s="100"/>
      <c r="X39" s="100"/>
      <c r="Y39" s="101">
        <f t="shared" ref="Y39:Y44" si="13">SUM(C39:X39)</f>
        <v>0</v>
      </c>
    </row>
    <row r="40" spans="1:25" ht="21" customHeight="1">
      <c r="A40" s="93">
        <v>310100</v>
      </c>
      <c r="B40" s="68" t="s">
        <v>182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64"/>
      <c r="P40" s="164"/>
      <c r="Q40" s="164"/>
      <c r="R40" s="70"/>
      <c r="S40" s="70"/>
      <c r="T40" s="70"/>
      <c r="U40" s="70"/>
      <c r="V40" s="70"/>
      <c r="W40" s="70"/>
      <c r="X40" s="70"/>
      <c r="Y40" s="95">
        <f t="shared" si="13"/>
        <v>0</v>
      </c>
    </row>
    <row r="41" spans="1:25" ht="21" customHeight="1">
      <c r="A41" s="93">
        <v>310200</v>
      </c>
      <c r="B41" s="68" t="s">
        <v>183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64"/>
      <c r="P41" s="164"/>
      <c r="Q41" s="164"/>
      <c r="R41" s="70"/>
      <c r="S41" s="70"/>
      <c r="T41" s="70"/>
      <c r="U41" s="70"/>
      <c r="V41" s="70"/>
      <c r="W41" s="70"/>
      <c r="X41" s="70"/>
      <c r="Y41" s="95">
        <f t="shared" si="13"/>
        <v>0</v>
      </c>
    </row>
    <row r="42" spans="1:25" ht="21" customHeight="1">
      <c r="A42" s="93">
        <v>310300</v>
      </c>
      <c r="B42" s="68" t="s">
        <v>184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64"/>
      <c r="P42" s="164"/>
      <c r="Q42" s="164"/>
      <c r="R42" s="70"/>
      <c r="S42" s="70"/>
      <c r="T42" s="70"/>
      <c r="U42" s="70"/>
      <c r="V42" s="70"/>
      <c r="W42" s="70"/>
      <c r="X42" s="70"/>
      <c r="Y42" s="95">
        <f t="shared" si="13"/>
        <v>0</v>
      </c>
    </row>
    <row r="43" spans="1:25" ht="21" customHeight="1">
      <c r="A43" s="93">
        <v>310400</v>
      </c>
      <c r="B43" s="68" t="s">
        <v>185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164"/>
      <c r="P43" s="164"/>
      <c r="Q43" s="164"/>
      <c r="R43" s="70"/>
      <c r="S43" s="70"/>
      <c r="T43" s="70"/>
      <c r="U43" s="70"/>
      <c r="V43" s="70"/>
      <c r="W43" s="70"/>
      <c r="X43" s="70"/>
      <c r="Y43" s="95">
        <f t="shared" si="13"/>
        <v>0</v>
      </c>
    </row>
    <row r="44" spans="1:25" ht="21" customHeight="1">
      <c r="A44" s="93">
        <v>310500</v>
      </c>
      <c r="B44" s="68" t="s">
        <v>186</v>
      </c>
      <c r="C44" s="70">
        <v>9750</v>
      </c>
      <c r="D44" s="70"/>
      <c r="E44" s="70"/>
      <c r="F44" s="70"/>
      <c r="G44" s="70"/>
      <c r="H44" s="70"/>
      <c r="I44" s="70"/>
      <c r="J44" s="70"/>
      <c r="K44" s="70"/>
      <c r="L44" s="70">
        <v>3300</v>
      </c>
      <c r="M44" s="70"/>
      <c r="N44" s="70"/>
      <c r="O44" s="164"/>
      <c r="P44" s="164"/>
      <c r="Q44" s="164"/>
      <c r="R44" s="70"/>
      <c r="S44" s="70"/>
      <c r="T44" s="70"/>
      <c r="U44" s="70"/>
      <c r="V44" s="70"/>
      <c r="W44" s="70"/>
      <c r="X44" s="70"/>
      <c r="Y44" s="95">
        <f t="shared" si="13"/>
        <v>13050</v>
      </c>
    </row>
    <row r="45" spans="1:25" ht="21" customHeight="1">
      <c r="A45" s="96">
        <v>310600</v>
      </c>
      <c r="B45" s="69" t="s">
        <v>187</v>
      </c>
      <c r="C45" s="70"/>
      <c r="D45" s="70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165"/>
      <c r="P45" s="165"/>
      <c r="Q45" s="165"/>
      <c r="R45" s="76"/>
      <c r="S45" s="76"/>
      <c r="T45" s="76"/>
      <c r="U45" s="76"/>
      <c r="V45" s="76"/>
      <c r="W45" s="76"/>
      <c r="X45" s="76"/>
      <c r="Y45" s="98">
        <f>SUM(C45:X45)</f>
        <v>0</v>
      </c>
    </row>
    <row r="46" spans="1:25" ht="21" customHeight="1">
      <c r="A46" s="426" t="s">
        <v>174</v>
      </c>
      <c r="B46" s="427"/>
      <c r="C46" s="95">
        <f>SUM(C40:C45)</f>
        <v>9750</v>
      </c>
      <c r="D46" s="95">
        <f t="shared" ref="D46:V46" si="14">SUM(D40:D45)</f>
        <v>0</v>
      </c>
      <c r="E46" s="95">
        <f t="shared" si="14"/>
        <v>0</v>
      </c>
      <c r="F46" s="95">
        <f t="shared" si="14"/>
        <v>0</v>
      </c>
      <c r="G46" s="95">
        <f t="shared" si="14"/>
        <v>0</v>
      </c>
      <c r="H46" s="95">
        <f t="shared" si="14"/>
        <v>0</v>
      </c>
      <c r="I46" s="95">
        <f t="shared" si="14"/>
        <v>0</v>
      </c>
      <c r="J46" s="95">
        <f t="shared" si="14"/>
        <v>0</v>
      </c>
      <c r="K46" s="95">
        <f t="shared" si="14"/>
        <v>0</v>
      </c>
      <c r="L46" s="95">
        <f t="shared" si="14"/>
        <v>3300</v>
      </c>
      <c r="M46" s="95">
        <f t="shared" si="14"/>
        <v>0</v>
      </c>
      <c r="N46" s="95">
        <f t="shared" si="14"/>
        <v>0</v>
      </c>
      <c r="O46" s="95">
        <f t="shared" ref="O46" si="15">SUM(O40:O45)</f>
        <v>0</v>
      </c>
      <c r="P46" s="95">
        <f t="shared" si="14"/>
        <v>0</v>
      </c>
      <c r="Q46" s="95">
        <f t="shared" si="14"/>
        <v>0</v>
      </c>
      <c r="R46" s="95">
        <f t="shared" si="14"/>
        <v>0</v>
      </c>
      <c r="S46" s="95">
        <f t="shared" si="14"/>
        <v>0</v>
      </c>
      <c r="T46" s="95">
        <f t="shared" si="14"/>
        <v>0</v>
      </c>
      <c r="U46" s="95">
        <f t="shared" si="14"/>
        <v>0</v>
      </c>
      <c r="V46" s="95">
        <f t="shared" si="14"/>
        <v>0</v>
      </c>
      <c r="W46" s="95">
        <f>SUM(W40:W45)</f>
        <v>0</v>
      </c>
      <c r="X46" s="95">
        <f>SUM(X40:X45)</f>
        <v>0</v>
      </c>
      <c r="Y46" s="95">
        <f>SUM(C46:X46)</f>
        <v>13050</v>
      </c>
    </row>
    <row r="47" spans="1:25" ht="21" customHeight="1">
      <c r="A47" s="428" t="s">
        <v>175</v>
      </c>
      <c r="B47" s="429"/>
      <c r="C47" s="99">
        <f>+C46</f>
        <v>9750</v>
      </c>
      <c r="D47" s="99">
        <f t="shared" ref="D47:Y47" si="16">+D46</f>
        <v>0</v>
      </c>
      <c r="E47" s="99">
        <f t="shared" si="16"/>
        <v>0</v>
      </c>
      <c r="F47" s="99">
        <f t="shared" si="16"/>
        <v>0</v>
      </c>
      <c r="G47" s="99">
        <f t="shared" si="16"/>
        <v>0</v>
      </c>
      <c r="H47" s="99">
        <f t="shared" si="16"/>
        <v>0</v>
      </c>
      <c r="I47" s="99">
        <f t="shared" si="16"/>
        <v>0</v>
      </c>
      <c r="J47" s="99">
        <f t="shared" si="16"/>
        <v>0</v>
      </c>
      <c r="K47" s="99">
        <f t="shared" si="16"/>
        <v>0</v>
      </c>
      <c r="L47" s="99">
        <f t="shared" si="16"/>
        <v>3300</v>
      </c>
      <c r="M47" s="99">
        <f t="shared" si="16"/>
        <v>0</v>
      </c>
      <c r="N47" s="99">
        <f t="shared" si="16"/>
        <v>0</v>
      </c>
      <c r="O47" s="99">
        <f t="shared" si="16"/>
        <v>0</v>
      </c>
      <c r="P47" s="99">
        <f t="shared" si="16"/>
        <v>0</v>
      </c>
      <c r="Q47" s="99">
        <f t="shared" si="16"/>
        <v>0</v>
      </c>
      <c r="R47" s="99">
        <f t="shared" si="16"/>
        <v>0</v>
      </c>
      <c r="S47" s="99">
        <f t="shared" si="16"/>
        <v>0</v>
      </c>
      <c r="T47" s="99">
        <f t="shared" si="16"/>
        <v>0</v>
      </c>
      <c r="U47" s="99">
        <f t="shared" si="16"/>
        <v>0</v>
      </c>
      <c r="V47" s="99">
        <f t="shared" si="16"/>
        <v>0</v>
      </c>
      <c r="W47" s="99">
        <f t="shared" si="16"/>
        <v>0</v>
      </c>
      <c r="X47" s="99">
        <f t="shared" si="16"/>
        <v>0</v>
      </c>
      <c r="Y47" s="99">
        <f t="shared" si="16"/>
        <v>13050</v>
      </c>
    </row>
    <row r="48" spans="1:25" ht="21" customHeight="1">
      <c r="A48" s="432" t="s">
        <v>389</v>
      </c>
      <c r="B48" s="433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67"/>
      <c r="P48" s="167"/>
      <c r="Q48" s="167"/>
      <c r="R48" s="100"/>
      <c r="S48" s="100"/>
      <c r="T48" s="100"/>
      <c r="U48" s="100"/>
      <c r="V48" s="100"/>
      <c r="W48" s="100"/>
      <c r="X48" s="100"/>
      <c r="Y48" s="101">
        <f t="shared" ref="Y48" si="17">SUM(C48:X48)</f>
        <v>0</v>
      </c>
    </row>
    <row r="49" spans="1:25" ht="21" customHeight="1">
      <c r="A49" s="93">
        <v>320100</v>
      </c>
      <c r="B49" s="68" t="s">
        <v>188</v>
      </c>
      <c r="C49" s="70">
        <v>4402</v>
      </c>
      <c r="D49" s="70"/>
      <c r="E49" s="70"/>
      <c r="F49" s="70"/>
      <c r="G49" s="70"/>
      <c r="H49" s="70"/>
      <c r="I49" s="70"/>
      <c r="J49" s="70"/>
      <c r="K49" s="70"/>
      <c r="L49" s="70">
        <v>11615</v>
      </c>
      <c r="M49" s="70"/>
      <c r="N49" s="70">
        <v>14316.25</v>
      </c>
      <c r="O49" s="164"/>
      <c r="P49" s="164"/>
      <c r="Q49" s="164"/>
      <c r="R49" s="70"/>
      <c r="S49" s="70"/>
      <c r="T49" s="70"/>
      <c r="U49" s="70"/>
      <c r="V49" s="70"/>
      <c r="W49" s="70"/>
      <c r="X49" s="70"/>
      <c r="Y49" s="95">
        <f>SUM(C49:X49)</f>
        <v>30333.25</v>
      </c>
    </row>
    <row r="50" spans="1:25" ht="21" customHeight="1">
      <c r="A50" s="93">
        <v>320200</v>
      </c>
      <c r="B50" s="68" t="s">
        <v>189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164"/>
      <c r="P50" s="164"/>
      <c r="Q50" s="164"/>
      <c r="R50" s="70"/>
      <c r="S50" s="70"/>
      <c r="T50" s="70"/>
      <c r="U50" s="70"/>
      <c r="V50" s="70"/>
      <c r="W50" s="70"/>
      <c r="X50" s="70"/>
      <c r="Y50" s="95">
        <f>SUM(C50:X50)</f>
        <v>0</v>
      </c>
    </row>
    <row r="51" spans="1:25" ht="21" customHeight="1">
      <c r="A51" s="93">
        <v>320300</v>
      </c>
      <c r="B51" s="68" t="s">
        <v>190</v>
      </c>
      <c r="C51" s="70">
        <f>7013+7606</f>
        <v>14619</v>
      </c>
      <c r="D51" s="70"/>
      <c r="E51" s="70"/>
      <c r="F51" s="70"/>
      <c r="G51" s="70"/>
      <c r="H51" s="70"/>
      <c r="I51" s="70"/>
      <c r="J51" s="70"/>
      <c r="K51" s="70"/>
      <c r="L51" s="70">
        <v>4164</v>
      </c>
      <c r="M51" s="70"/>
      <c r="N51" s="70"/>
      <c r="O51" s="164"/>
      <c r="P51" s="164"/>
      <c r="Q51" s="164"/>
      <c r="R51" s="70">
        <v>12200</v>
      </c>
      <c r="S51" s="70"/>
      <c r="T51" s="70"/>
      <c r="U51" s="70"/>
      <c r="V51" s="70"/>
      <c r="W51" s="70"/>
      <c r="X51" s="70"/>
      <c r="Y51" s="95">
        <f>SUM(C51:X51)</f>
        <v>30983</v>
      </c>
    </row>
    <row r="52" spans="1:25" ht="21" customHeight="1">
      <c r="A52" s="96">
        <v>320400</v>
      </c>
      <c r="B52" s="69" t="s">
        <v>191</v>
      </c>
      <c r="C52" s="76">
        <v>22525.64</v>
      </c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>
        <v>5800</v>
      </c>
      <c r="O52" s="165"/>
      <c r="P52" s="165"/>
      <c r="Q52" s="165"/>
      <c r="R52" s="76"/>
      <c r="S52" s="76"/>
      <c r="T52" s="76"/>
      <c r="U52" s="76"/>
      <c r="V52" s="76"/>
      <c r="W52" s="76"/>
      <c r="X52" s="76"/>
      <c r="Y52" s="95">
        <f>SUM(C52:X52)</f>
        <v>28325.64</v>
      </c>
    </row>
    <row r="53" spans="1:25" ht="21" customHeight="1">
      <c r="A53" s="426" t="s">
        <v>174</v>
      </c>
      <c r="B53" s="427"/>
      <c r="C53" s="95">
        <f>SUM(C49:C52)</f>
        <v>41546.639999999999</v>
      </c>
      <c r="D53" s="95">
        <f t="shared" ref="D53:X53" si="18">SUM(D49:D52)</f>
        <v>0</v>
      </c>
      <c r="E53" s="95">
        <f t="shared" si="18"/>
        <v>0</v>
      </c>
      <c r="F53" s="95">
        <f t="shared" si="18"/>
        <v>0</v>
      </c>
      <c r="G53" s="95">
        <f t="shared" si="18"/>
        <v>0</v>
      </c>
      <c r="H53" s="95">
        <f t="shared" si="18"/>
        <v>0</v>
      </c>
      <c r="I53" s="95">
        <f t="shared" si="18"/>
        <v>0</v>
      </c>
      <c r="J53" s="95">
        <f t="shared" si="18"/>
        <v>0</v>
      </c>
      <c r="K53" s="95">
        <f t="shared" si="18"/>
        <v>0</v>
      </c>
      <c r="L53" s="95">
        <f t="shared" si="18"/>
        <v>15779</v>
      </c>
      <c r="M53" s="95">
        <f t="shared" si="18"/>
        <v>0</v>
      </c>
      <c r="N53" s="95">
        <f t="shared" si="18"/>
        <v>20116.25</v>
      </c>
      <c r="O53" s="95">
        <f t="shared" ref="O53" si="19">SUM(O49:O52)</f>
        <v>0</v>
      </c>
      <c r="P53" s="95">
        <f t="shared" si="18"/>
        <v>0</v>
      </c>
      <c r="Q53" s="95">
        <f t="shared" si="18"/>
        <v>0</v>
      </c>
      <c r="R53" s="95">
        <f t="shared" si="18"/>
        <v>12200</v>
      </c>
      <c r="S53" s="95">
        <f t="shared" si="18"/>
        <v>0</v>
      </c>
      <c r="T53" s="95">
        <f t="shared" si="18"/>
        <v>0</v>
      </c>
      <c r="U53" s="95">
        <f t="shared" si="18"/>
        <v>0</v>
      </c>
      <c r="V53" s="95">
        <f t="shared" si="18"/>
        <v>0</v>
      </c>
      <c r="W53" s="95">
        <f>SUM(W49:W52)</f>
        <v>0</v>
      </c>
      <c r="X53" s="95">
        <f t="shared" si="18"/>
        <v>0</v>
      </c>
      <c r="Y53" s="95">
        <f>SUM(Y49:Y52)</f>
        <v>89641.89</v>
      </c>
    </row>
    <row r="54" spans="1:25" ht="21" customHeight="1">
      <c r="A54" s="428" t="s">
        <v>175</v>
      </c>
      <c r="B54" s="429"/>
      <c r="C54" s="99">
        <f>+C53</f>
        <v>41546.639999999999</v>
      </c>
      <c r="D54" s="99">
        <f t="shared" ref="D54:Y54" si="20">+D53</f>
        <v>0</v>
      </c>
      <c r="E54" s="99">
        <f t="shared" si="20"/>
        <v>0</v>
      </c>
      <c r="F54" s="99">
        <f t="shared" si="20"/>
        <v>0</v>
      </c>
      <c r="G54" s="99">
        <f t="shared" si="20"/>
        <v>0</v>
      </c>
      <c r="H54" s="99">
        <f t="shared" si="20"/>
        <v>0</v>
      </c>
      <c r="I54" s="99">
        <f t="shared" si="20"/>
        <v>0</v>
      </c>
      <c r="J54" s="99">
        <f t="shared" si="20"/>
        <v>0</v>
      </c>
      <c r="K54" s="99">
        <f t="shared" si="20"/>
        <v>0</v>
      </c>
      <c r="L54" s="99">
        <f t="shared" si="20"/>
        <v>15779</v>
      </c>
      <c r="M54" s="99">
        <f t="shared" si="20"/>
        <v>0</v>
      </c>
      <c r="N54" s="99">
        <f t="shared" si="20"/>
        <v>20116.25</v>
      </c>
      <c r="O54" s="99">
        <f t="shared" si="20"/>
        <v>0</v>
      </c>
      <c r="P54" s="99">
        <f t="shared" si="20"/>
        <v>0</v>
      </c>
      <c r="Q54" s="99">
        <f t="shared" si="20"/>
        <v>0</v>
      </c>
      <c r="R54" s="99">
        <f t="shared" si="20"/>
        <v>12200</v>
      </c>
      <c r="S54" s="99">
        <f t="shared" si="20"/>
        <v>0</v>
      </c>
      <c r="T54" s="99">
        <f t="shared" si="20"/>
        <v>0</v>
      </c>
      <c r="U54" s="99">
        <f t="shared" si="20"/>
        <v>0</v>
      </c>
      <c r="V54" s="99">
        <f t="shared" si="20"/>
        <v>0</v>
      </c>
      <c r="W54" s="99">
        <f t="shared" si="20"/>
        <v>0</v>
      </c>
      <c r="X54" s="99">
        <f t="shared" si="20"/>
        <v>0</v>
      </c>
      <c r="Y54" s="99">
        <f t="shared" si="20"/>
        <v>89641.89</v>
      </c>
    </row>
    <row r="55" spans="1:25" ht="21" customHeight="1">
      <c r="A55" s="432" t="s">
        <v>390</v>
      </c>
      <c r="B55" s="433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67"/>
      <c r="P55" s="167"/>
      <c r="Q55" s="167"/>
      <c r="R55" s="100"/>
      <c r="S55" s="100"/>
      <c r="T55" s="100"/>
      <c r="U55" s="100"/>
      <c r="V55" s="100"/>
      <c r="W55" s="100"/>
      <c r="X55" s="100"/>
      <c r="Y55" s="101">
        <f>SUM(C55:X55)</f>
        <v>0</v>
      </c>
    </row>
    <row r="56" spans="1:25" ht="21" customHeight="1">
      <c r="A56" s="93">
        <v>330100</v>
      </c>
      <c r="B56" s="68" t="s">
        <v>192</v>
      </c>
      <c r="C56" s="70">
        <f>10806+5550</f>
        <v>16356</v>
      </c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164"/>
      <c r="P56" s="164"/>
      <c r="Q56" s="164"/>
      <c r="R56" s="70"/>
      <c r="S56" s="70"/>
      <c r="T56" s="70"/>
      <c r="U56" s="70"/>
      <c r="V56" s="70"/>
      <c r="W56" s="70"/>
      <c r="X56" s="70"/>
      <c r="Y56" s="95">
        <f>SUM(C56:X56)</f>
        <v>16356</v>
      </c>
    </row>
    <row r="57" spans="1:25" ht="21" customHeight="1">
      <c r="A57" s="93">
        <v>330200</v>
      </c>
      <c r="B57" s="68" t="s">
        <v>193</v>
      </c>
      <c r="C57" s="70">
        <v>1720</v>
      </c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164"/>
      <c r="P57" s="164"/>
      <c r="Q57" s="164"/>
      <c r="R57" s="70"/>
      <c r="S57" s="70"/>
      <c r="T57" s="70"/>
      <c r="U57" s="70"/>
      <c r="V57" s="70"/>
      <c r="W57" s="70"/>
      <c r="X57" s="70"/>
      <c r="Y57" s="95">
        <f t="shared" ref="Y57:Y61" si="21">SUM(C57:X57)</f>
        <v>1720</v>
      </c>
    </row>
    <row r="58" spans="1:25" ht="21" customHeight="1">
      <c r="A58" s="93">
        <v>330300</v>
      </c>
      <c r="B58" s="68" t="s">
        <v>235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164"/>
      <c r="P58" s="164"/>
      <c r="Q58" s="164"/>
      <c r="R58" s="70"/>
      <c r="S58" s="70"/>
      <c r="T58" s="70"/>
      <c r="U58" s="70"/>
      <c r="V58" s="70"/>
      <c r="W58" s="70"/>
      <c r="X58" s="70"/>
      <c r="Y58" s="95">
        <f t="shared" si="21"/>
        <v>0</v>
      </c>
    </row>
    <row r="59" spans="1:25" ht="21" customHeight="1">
      <c r="A59" s="93">
        <v>330400</v>
      </c>
      <c r="B59" s="68" t="s">
        <v>210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164"/>
      <c r="P59" s="164"/>
      <c r="Q59" s="164"/>
      <c r="R59" s="70"/>
      <c r="S59" s="70"/>
      <c r="T59" s="70"/>
      <c r="U59" s="70"/>
      <c r="V59" s="70"/>
      <c r="W59" s="70"/>
      <c r="X59" s="70"/>
      <c r="Y59" s="95">
        <f t="shared" si="21"/>
        <v>0</v>
      </c>
    </row>
    <row r="60" spans="1:25" ht="21" customHeight="1">
      <c r="A60" s="93">
        <v>330600</v>
      </c>
      <c r="B60" s="68" t="s">
        <v>194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164"/>
      <c r="P60" s="164"/>
      <c r="Q60" s="164"/>
      <c r="R60" s="70"/>
      <c r="S60" s="70"/>
      <c r="T60" s="70"/>
      <c r="U60" s="70"/>
      <c r="V60" s="70"/>
      <c r="W60" s="70"/>
      <c r="X60" s="70"/>
      <c r="Y60" s="95">
        <f t="shared" si="21"/>
        <v>0</v>
      </c>
    </row>
    <row r="61" spans="1:25" ht="21" customHeight="1">
      <c r="A61" s="93">
        <v>330700</v>
      </c>
      <c r="B61" s="68" t="s">
        <v>310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164"/>
      <c r="P61" s="164"/>
      <c r="Q61" s="164"/>
      <c r="R61" s="70"/>
      <c r="S61" s="70"/>
      <c r="T61" s="70"/>
      <c r="U61" s="70"/>
      <c r="V61" s="70"/>
      <c r="W61" s="70"/>
      <c r="X61" s="70"/>
      <c r="Y61" s="95">
        <f t="shared" si="21"/>
        <v>0</v>
      </c>
    </row>
    <row r="62" spans="1:25" ht="21" customHeight="1">
      <c r="A62" s="93">
        <v>330800</v>
      </c>
      <c r="B62" s="68" t="s">
        <v>195</v>
      </c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164"/>
      <c r="P62" s="164"/>
      <c r="Q62" s="164"/>
      <c r="R62" s="70"/>
      <c r="S62" s="70"/>
      <c r="T62" s="70"/>
      <c r="U62" s="70"/>
      <c r="V62" s="70"/>
      <c r="W62" s="70"/>
      <c r="X62" s="70"/>
      <c r="Y62" s="95">
        <f>SUM(C62:X62)</f>
        <v>0</v>
      </c>
    </row>
    <row r="63" spans="1:25" ht="21" customHeight="1">
      <c r="A63" s="93">
        <v>330900</v>
      </c>
      <c r="B63" s="68" t="s">
        <v>197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164"/>
      <c r="P63" s="164"/>
      <c r="Q63" s="164"/>
      <c r="R63" s="70"/>
      <c r="S63" s="70"/>
      <c r="T63" s="70"/>
      <c r="U63" s="70"/>
      <c r="V63" s="70"/>
      <c r="W63" s="70"/>
      <c r="X63" s="70"/>
      <c r="Y63" s="95">
        <f t="shared" ref="Y63" si="22">SUM(C63:X63)</f>
        <v>0</v>
      </c>
    </row>
    <row r="64" spans="1:25" ht="21" customHeight="1">
      <c r="A64" s="435" t="s">
        <v>139</v>
      </c>
      <c r="B64" s="435"/>
      <c r="C64" s="434" t="s">
        <v>141</v>
      </c>
      <c r="D64" s="434"/>
      <c r="E64" s="437" t="s">
        <v>144</v>
      </c>
      <c r="F64" s="438"/>
      <c r="G64" s="434" t="s">
        <v>146</v>
      </c>
      <c r="H64" s="435"/>
      <c r="I64" s="437" t="s">
        <v>160</v>
      </c>
      <c r="J64" s="438"/>
      <c r="K64" s="264" t="s">
        <v>161</v>
      </c>
      <c r="L64" s="437" t="s">
        <v>162</v>
      </c>
      <c r="M64" s="439"/>
      <c r="N64" s="439"/>
      <c r="O64" s="438"/>
      <c r="P64" s="437" t="s">
        <v>163</v>
      </c>
      <c r="Q64" s="438"/>
      <c r="R64" s="437" t="s">
        <v>164</v>
      </c>
      <c r="S64" s="439"/>
      <c r="T64" s="438"/>
      <c r="U64" s="434" t="s">
        <v>165</v>
      </c>
      <c r="V64" s="435"/>
      <c r="W64" s="264" t="s">
        <v>212</v>
      </c>
      <c r="X64" s="264" t="s">
        <v>166</v>
      </c>
      <c r="Y64" s="436" t="s">
        <v>17</v>
      </c>
    </row>
    <row r="65" spans="1:26" ht="21" customHeight="1">
      <c r="A65" s="435" t="s">
        <v>140</v>
      </c>
      <c r="B65" s="435"/>
      <c r="C65" s="370" t="s">
        <v>142</v>
      </c>
      <c r="D65" s="264" t="s">
        <v>143</v>
      </c>
      <c r="E65" s="264" t="s">
        <v>145</v>
      </c>
      <c r="F65" s="264" t="s">
        <v>214</v>
      </c>
      <c r="G65" s="264" t="s">
        <v>147</v>
      </c>
      <c r="H65" s="264" t="s">
        <v>148</v>
      </c>
      <c r="I65" s="264" t="s">
        <v>149</v>
      </c>
      <c r="J65" s="264" t="s">
        <v>150</v>
      </c>
      <c r="K65" s="264" t="s">
        <v>151</v>
      </c>
      <c r="L65" s="264" t="s">
        <v>152</v>
      </c>
      <c r="M65" s="264" t="s">
        <v>153</v>
      </c>
      <c r="N65" s="264" t="s">
        <v>238</v>
      </c>
      <c r="O65" s="264" t="s">
        <v>331</v>
      </c>
      <c r="P65" s="265" t="s">
        <v>303</v>
      </c>
      <c r="Q65" s="265" t="s">
        <v>154</v>
      </c>
      <c r="R65" s="264" t="s">
        <v>155</v>
      </c>
      <c r="S65" s="264" t="s">
        <v>156</v>
      </c>
      <c r="T65" s="264" t="s">
        <v>216</v>
      </c>
      <c r="U65" s="264" t="s">
        <v>157</v>
      </c>
      <c r="V65" s="264" t="s">
        <v>158</v>
      </c>
      <c r="W65" s="264" t="s">
        <v>213</v>
      </c>
      <c r="X65" s="264" t="s">
        <v>159</v>
      </c>
      <c r="Y65" s="436"/>
    </row>
    <row r="66" spans="1:26" ht="21" customHeight="1">
      <c r="A66" s="224">
        <v>331000</v>
      </c>
      <c r="B66" s="227" t="s">
        <v>300</v>
      </c>
      <c r="C66" s="228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6"/>
      <c r="P66" s="226"/>
      <c r="Q66" s="226"/>
      <c r="R66" s="225"/>
      <c r="S66" s="225"/>
      <c r="T66" s="225"/>
      <c r="U66" s="225"/>
      <c r="V66" s="225"/>
      <c r="W66" s="225"/>
      <c r="X66" s="225"/>
      <c r="Y66" s="95">
        <f>SUM(C66:X66)</f>
        <v>0</v>
      </c>
    </row>
    <row r="67" spans="1:26" ht="21" customHeight="1">
      <c r="A67" s="93">
        <v>331200</v>
      </c>
      <c r="B67" s="68" t="s">
        <v>198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164"/>
      <c r="P67" s="164"/>
      <c r="Q67" s="164"/>
      <c r="R67" s="70"/>
      <c r="S67" s="70"/>
      <c r="T67" s="70"/>
      <c r="U67" s="70"/>
      <c r="V67" s="70"/>
      <c r="W67" s="70"/>
      <c r="X67" s="70"/>
      <c r="Y67" s="95">
        <f>SUM(C67:X67)</f>
        <v>0</v>
      </c>
    </row>
    <row r="68" spans="1:26" ht="21" customHeight="1">
      <c r="A68" s="93">
        <v>331300</v>
      </c>
      <c r="B68" s="68" t="s">
        <v>199</v>
      </c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164"/>
      <c r="P68" s="164"/>
      <c r="Q68" s="164"/>
      <c r="R68" s="70"/>
      <c r="S68" s="70"/>
      <c r="T68" s="70"/>
      <c r="U68" s="70"/>
      <c r="V68" s="70"/>
      <c r="W68" s="70"/>
      <c r="X68" s="70"/>
      <c r="Y68" s="95">
        <f t="shared" ref="Y68:Y71" si="23">SUM(C68:X68)</f>
        <v>0</v>
      </c>
    </row>
    <row r="69" spans="1:26" ht="21" customHeight="1">
      <c r="A69" s="93">
        <v>331400</v>
      </c>
      <c r="B69" s="68" t="s">
        <v>196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164"/>
      <c r="P69" s="164"/>
      <c r="Q69" s="164"/>
      <c r="R69" s="70"/>
      <c r="S69" s="70"/>
      <c r="T69" s="70"/>
      <c r="U69" s="70"/>
      <c r="V69" s="70"/>
      <c r="W69" s="70"/>
      <c r="X69" s="70"/>
      <c r="Y69" s="95">
        <f t="shared" si="23"/>
        <v>0</v>
      </c>
    </row>
    <row r="70" spans="1:26" ht="21" customHeight="1">
      <c r="A70" s="93">
        <v>331500</v>
      </c>
      <c r="B70" s="68" t="s">
        <v>200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164"/>
      <c r="P70" s="164"/>
      <c r="Q70" s="164"/>
      <c r="R70" s="70"/>
      <c r="S70" s="70"/>
      <c r="T70" s="70"/>
      <c r="U70" s="70"/>
      <c r="V70" s="70"/>
      <c r="W70" s="70"/>
      <c r="X70" s="70"/>
      <c r="Y70" s="95">
        <f t="shared" si="23"/>
        <v>0</v>
      </c>
    </row>
    <row r="71" spans="1:26" ht="21" customHeight="1">
      <c r="A71" s="96">
        <v>331700</v>
      </c>
      <c r="B71" s="69" t="s">
        <v>201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165"/>
      <c r="P71" s="165"/>
      <c r="Q71" s="165"/>
      <c r="R71" s="76"/>
      <c r="S71" s="76"/>
      <c r="T71" s="76"/>
      <c r="U71" s="76"/>
      <c r="V71" s="76"/>
      <c r="W71" s="76"/>
      <c r="X71" s="76"/>
      <c r="Y71" s="95">
        <f t="shared" si="23"/>
        <v>0</v>
      </c>
    </row>
    <row r="72" spans="1:26" ht="21" customHeight="1">
      <c r="A72" s="426" t="s">
        <v>174</v>
      </c>
      <c r="B72" s="427"/>
      <c r="C72" s="95">
        <f t="shared" ref="C72:X72" si="24">SUM(C56:C71)</f>
        <v>18076</v>
      </c>
      <c r="D72" s="95">
        <f t="shared" si="24"/>
        <v>0</v>
      </c>
      <c r="E72" s="95">
        <f t="shared" si="24"/>
        <v>0</v>
      </c>
      <c r="F72" s="95">
        <f t="shared" si="24"/>
        <v>0</v>
      </c>
      <c r="G72" s="95">
        <f t="shared" si="24"/>
        <v>0</v>
      </c>
      <c r="H72" s="95">
        <f t="shared" si="24"/>
        <v>0</v>
      </c>
      <c r="I72" s="95">
        <f t="shared" si="24"/>
        <v>0</v>
      </c>
      <c r="J72" s="95">
        <f t="shared" si="24"/>
        <v>0</v>
      </c>
      <c r="K72" s="95">
        <f t="shared" si="24"/>
        <v>0</v>
      </c>
      <c r="L72" s="95">
        <f t="shared" si="24"/>
        <v>0</v>
      </c>
      <c r="M72" s="95">
        <f t="shared" si="24"/>
        <v>0</v>
      </c>
      <c r="N72" s="95">
        <f t="shared" si="24"/>
        <v>0</v>
      </c>
      <c r="O72" s="95">
        <f t="shared" ref="O72" si="25">SUM(O56:O71)</f>
        <v>0</v>
      </c>
      <c r="P72" s="95">
        <f t="shared" si="24"/>
        <v>0</v>
      </c>
      <c r="Q72" s="95">
        <f t="shared" si="24"/>
        <v>0</v>
      </c>
      <c r="R72" s="95">
        <f t="shared" si="24"/>
        <v>0</v>
      </c>
      <c r="S72" s="95">
        <f t="shared" si="24"/>
        <v>0</v>
      </c>
      <c r="T72" s="95">
        <f t="shared" si="24"/>
        <v>0</v>
      </c>
      <c r="U72" s="95">
        <f t="shared" si="24"/>
        <v>0</v>
      </c>
      <c r="V72" s="95">
        <f t="shared" si="24"/>
        <v>0</v>
      </c>
      <c r="W72" s="95">
        <f t="shared" si="24"/>
        <v>0</v>
      </c>
      <c r="X72" s="95">
        <f t="shared" si="24"/>
        <v>0</v>
      </c>
      <c r="Y72" s="95">
        <f>SUM(Y56:Y71)</f>
        <v>18076</v>
      </c>
      <c r="Z72" s="91">
        <f>+Y72-18076</f>
        <v>0</v>
      </c>
    </row>
    <row r="73" spans="1:26" ht="21" customHeight="1">
      <c r="A73" s="428" t="s">
        <v>175</v>
      </c>
      <c r="B73" s="429"/>
      <c r="C73" s="99">
        <f>+C72</f>
        <v>18076</v>
      </c>
      <c r="D73" s="99">
        <f t="shared" ref="D73:Y73" si="26">+D72</f>
        <v>0</v>
      </c>
      <c r="E73" s="99">
        <f t="shared" si="26"/>
        <v>0</v>
      </c>
      <c r="F73" s="99">
        <f t="shared" si="26"/>
        <v>0</v>
      </c>
      <c r="G73" s="99">
        <f t="shared" si="26"/>
        <v>0</v>
      </c>
      <c r="H73" s="99">
        <f t="shared" si="26"/>
        <v>0</v>
      </c>
      <c r="I73" s="99">
        <f t="shared" si="26"/>
        <v>0</v>
      </c>
      <c r="J73" s="99">
        <f t="shared" si="26"/>
        <v>0</v>
      </c>
      <c r="K73" s="99">
        <f t="shared" si="26"/>
        <v>0</v>
      </c>
      <c r="L73" s="99">
        <f t="shared" si="26"/>
        <v>0</v>
      </c>
      <c r="M73" s="99">
        <f t="shared" si="26"/>
        <v>0</v>
      </c>
      <c r="N73" s="99">
        <f t="shared" si="26"/>
        <v>0</v>
      </c>
      <c r="O73" s="99">
        <f t="shared" si="26"/>
        <v>0</v>
      </c>
      <c r="P73" s="99">
        <f t="shared" si="26"/>
        <v>0</v>
      </c>
      <c r="Q73" s="99">
        <f t="shared" si="26"/>
        <v>0</v>
      </c>
      <c r="R73" s="99">
        <f t="shared" si="26"/>
        <v>0</v>
      </c>
      <c r="S73" s="99">
        <f t="shared" si="26"/>
        <v>0</v>
      </c>
      <c r="T73" s="99">
        <f t="shared" si="26"/>
        <v>0</v>
      </c>
      <c r="U73" s="99">
        <f t="shared" si="26"/>
        <v>0</v>
      </c>
      <c r="V73" s="99">
        <f t="shared" si="26"/>
        <v>0</v>
      </c>
      <c r="W73" s="99">
        <f t="shared" si="26"/>
        <v>0</v>
      </c>
      <c r="X73" s="99">
        <f t="shared" si="26"/>
        <v>0</v>
      </c>
      <c r="Y73" s="99">
        <f t="shared" si="26"/>
        <v>18076</v>
      </c>
    </row>
    <row r="74" spans="1:26" ht="21" customHeight="1">
      <c r="A74" s="432" t="s">
        <v>391</v>
      </c>
      <c r="B74" s="433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67"/>
      <c r="P74" s="167"/>
      <c r="Q74" s="167"/>
      <c r="R74" s="100"/>
      <c r="S74" s="100"/>
      <c r="T74" s="100"/>
      <c r="U74" s="100"/>
      <c r="V74" s="100"/>
      <c r="W74" s="100"/>
      <c r="X74" s="100"/>
      <c r="Y74" s="101">
        <f t="shared" ref="Y74" si="27">SUM(C74:X74)</f>
        <v>0</v>
      </c>
    </row>
    <row r="75" spans="1:26" ht="21" customHeight="1">
      <c r="A75" s="93">
        <v>340100</v>
      </c>
      <c r="B75" s="68" t="s">
        <v>202</v>
      </c>
      <c r="C75" s="70">
        <v>23345.200000000001</v>
      </c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164"/>
      <c r="P75" s="164"/>
      <c r="Q75" s="164"/>
      <c r="R75" s="70"/>
      <c r="S75" s="70"/>
      <c r="T75" s="70"/>
      <c r="U75" s="70"/>
      <c r="V75" s="70"/>
      <c r="W75" s="70">
        <v>46895.35</v>
      </c>
      <c r="X75" s="70"/>
      <c r="Y75" s="95">
        <f>SUM(C75:X75)</f>
        <v>70240.55</v>
      </c>
    </row>
    <row r="76" spans="1:26" ht="21" customHeight="1">
      <c r="A76" s="93">
        <v>340300</v>
      </c>
      <c r="B76" s="68" t="s">
        <v>203</v>
      </c>
      <c r="C76" s="70">
        <v>426.88</v>
      </c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164"/>
      <c r="P76" s="164"/>
      <c r="Q76" s="164"/>
      <c r="R76" s="70"/>
      <c r="S76" s="70"/>
      <c r="T76" s="70"/>
      <c r="U76" s="70"/>
      <c r="V76" s="70"/>
      <c r="W76" s="70"/>
      <c r="X76" s="70"/>
      <c r="Y76" s="95">
        <f t="shared" ref="Y76:Y78" si="28">SUM(C76:X76)</f>
        <v>426.88</v>
      </c>
    </row>
    <row r="77" spans="1:26" ht="21" customHeight="1">
      <c r="A77" s="93">
        <v>340400</v>
      </c>
      <c r="B77" s="68" t="s">
        <v>204</v>
      </c>
      <c r="C77" s="70">
        <v>3746</v>
      </c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164"/>
      <c r="P77" s="164"/>
      <c r="Q77" s="164"/>
      <c r="R77" s="70"/>
      <c r="S77" s="70"/>
      <c r="T77" s="70"/>
      <c r="U77" s="70"/>
      <c r="V77" s="70"/>
      <c r="W77" s="70"/>
      <c r="X77" s="70"/>
      <c r="Y77" s="95">
        <f t="shared" si="28"/>
        <v>3746</v>
      </c>
    </row>
    <row r="78" spans="1:26" ht="21" customHeight="1">
      <c r="A78" s="96">
        <v>340500</v>
      </c>
      <c r="B78" s="69" t="s">
        <v>205</v>
      </c>
      <c r="C78" s="70">
        <v>8560</v>
      </c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165"/>
      <c r="P78" s="165"/>
      <c r="Q78" s="165"/>
      <c r="R78" s="76"/>
      <c r="S78" s="76"/>
      <c r="T78" s="76"/>
      <c r="U78" s="76"/>
      <c r="V78" s="76"/>
      <c r="W78" s="76"/>
      <c r="X78" s="76"/>
      <c r="Y78" s="98">
        <f t="shared" si="28"/>
        <v>8560</v>
      </c>
    </row>
    <row r="79" spans="1:26" ht="21" customHeight="1">
      <c r="A79" s="426" t="s">
        <v>174</v>
      </c>
      <c r="B79" s="427"/>
      <c r="C79" s="95">
        <f>SUM(C75:C78)</f>
        <v>36078.080000000002</v>
      </c>
      <c r="D79" s="95">
        <f t="shared" ref="D79:Y79" si="29">SUM(D75:D78)</f>
        <v>0</v>
      </c>
      <c r="E79" s="95">
        <f t="shared" si="29"/>
        <v>0</v>
      </c>
      <c r="F79" s="95">
        <f t="shared" si="29"/>
        <v>0</v>
      </c>
      <c r="G79" s="95">
        <f t="shared" si="29"/>
        <v>0</v>
      </c>
      <c r="H79" s="95">
        <f t="shared" si="29"/>
        <v>0</v>
      </c>
      <c r="I79" s="95">
        <f t="shared" si="29"/>
        <v>0</v>
      </c>
      <c r="J79" s="95">
        <f t="shared" si="29"/>
        <v>0</v>
      </c>
      <c r="K79" s="95">
        <f t="shared" si="29"/>
        <v>0</v>
      </c>
      <c r="L79" s="95">
        <f t="shared" si="29"/>
        <v>0</v>
      </c>
      <c r="M79" s="95">
        <f t="shared" si="29"/>
        <v>0</v>
      </c>
      <c r="N79" s="95">
        <f t="shared" si="29"/>
        <v>0</v>
      </c>
      <c r="O79" s="95">
        <f t="shared" si="29"/>
        <v>0</v>
      </c>
      <c r="P79" s="95">
        <f t="shared" si="29"/>
        <v>0</v>
      </c>
      <c r="Q79" s="95">
        <f t="shared" si="29"/>
        <v>0</v>
      </c>
      <c r="R79" s="95">
        <f t="shared" si="29"/>
        <v>0</v>
      </c>
      <c r="S79" s="95">
        <f t="shared" si="29"/>
        <v>0</v>
      </c>
      <c r="T79" s="95">
        <f t="shared" si="29"/>
        <v>0</v>
      </c>
      <c r="U79" s="95">
        <f t="shared" si="29"/>
        <v>0</v>
      </c>
      <c r="V79" s="95">
        <f t="shared" si="29"/>
        <v>0</v>
      </c>
      <c r="W79" s="95">
        <f t="shared" si="29"/>
        <v>46895.35</v>
      </c>
      <c r="X79" s="95">
        <f t="shared" si="29"/>
        <v>0</v>
      </c>
      <c r="Y79" s="95">
        <f t="shared" si="29"/>
        <v>82973.430000000008</v>
      </c>
    </row>
    <row r="80" spans="1:26" ht="21" customHeight="1">
      <c r="A80" s="428" t="s">
        <v>175</v>
      </c>
      <c r="B80" s="429"/>
      <c r="C80" s="99">
        <f>+C79</f>
        <v>36078.080000000002</v>
      </c>
      <c r="D80" s="99">
        <f t="shared" ref="D80:Y80" si="30">+D79</f>
        <v>0</v>
      </c>
      <c r="E80" s="99">
        <f t="shared" si="30"/>
        <v>0</v>
      </c>
      <c r="F80" s="99">
        <f t="shared" si="30"/>
        <v>0</v>
      </c>
      <c r="G80" s="99">
        <f t="shared" si="30"/>
        <v>0</v>
      </c>
      <c r="H80" s="99">
        <f t="shared" si="30"/>
        <v>0</v>
      </c>
      <c r="I80" s="99">
        <f t="shared" si="30"/>
        <v>0</v>
      </c>
      <c r="J80" s="99">
        <f t="shared" si="30"/>
        <v>0</v>
      </c>
      <c r="K80" s="99">
        <f t="shared" si="30"/>
        <v>0</v>
      </c>
      <c r="L80" s="99">
        <f t="shared" si="30"/>
        <v>0</v>
      </c>
      <c r="M80" s="99">
        <f t="shared" si="30"/>
        <v>0</v>
      </c>
      <c r="N80" s="99">
        <f t="shared" si="30"/>
        <v>0</v>
      </c>
      <c r="O80" s="99">
        <f t="shared" si="30"/>
        <v>0</v>
      </c>
      <c r="P80" s="99">
        <f t="shared" si="30"/>
        <v>0</v>
      </c>
      <c r="Q80" s="99">
        <f t="shared" si="30"/>
        <v>0</v>
      </c>
      <c r="R80" s="99">
        <f t="shared" si="30"/>
        <v>0</v>
      </c>
      <c r="S80" s="99">
        <f t="shared" si="30"/>
        <v>0</v>
      </c>
      <c r="T80" s="99">
        <f t="shared" si="30"/>
        <v>0</v>
      </c>
      <c r="U80" s="99">
        <f t="shared" si="30"/>
        <v>0</v>
      </c>
      <c r="V80" s="99">
        <f t="shared" si="30"/>
        <v>0</v>
      </c>
      <c r="W80" s="99">
        <f t="shared" si="30"/>
        <v>46895.35</v>
      </c>
      <c r="X80" s="99">
        <f t="shared" si="30"/>
        <v>0</v>
      </c>
      <c r="Y80" s="99">
        <f t="shared" si="30"/>
        <v>82973.430000000008</v>
      </c>
    </row>
    <row r="81" spans="1:25" ht="21" customHeight="1">
      <c r="A81" s="432" t="s">
        <v>392</v>
      </c>
      <c r="B81" s="433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67"/>
      <c r="P81" s="167"/>
      <c r="Q81" s="167"/>
      <c r="R81" s="100"/>
      <c r="S81" s="100"/>
      <c r="T81" s="100"/>
      <c r="U81" s="100"/>
      <c r="V81" s="100"/>
      <c r="W81" s="100"/>
      <c r="X81" s="100"/>
      <c r="Y81" s="101">
        <f t="shared" ref="Y81:Y93" si="31">SUM(C81:X81)</f>
        <v>0</v>
      </c>
    </row>
    <row r="82" spans="1:25" ht="21" customHeight="1">
      <c r="A82" s="93">
        <v>410400</v>
      </c>
      <c r="B82" s="68" t="s">
        <v>206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164"/>
      <c r="P82" s="164"/>
      <c r="Q82" s="164"/>
      <c r="R82" s="70"/>
      <c r="S82" s="70"/>
      <c r="T82" s="70"/>
      <c r="U82" s="70"/>
      <c r="V82" s="70"/>
      <c r="W82" s="70"/>
      <c r="X82" s="70"/>
      <c r="Y82" s="95">
        <f t="shared" si="31"/>
        <v>0</v>
      </c>
    </row>
    <row r="83" spans="1:25" ht="21" customHeight="1">
      <c r="A83" s="93">
        <v>410200</v>
      </c>
      <c r="B83" s="68" t="s">
        <v>224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164"/>
      <c r="P83" s="164"/>
      <c r="Q83" s="164"/>
      <c r="R83" s="70"/>
      <c r="S83" s="70"/>
      <c r="T83" s="70"/>
      <c r="U83" s="70"/>
      <c r="V83" s="70"/>
      <c r="W83" s="70"/>
      <c r="X83" s="70"/>
      <c r="Y83" s="95">
        <f t="shared" si="31"/>
        <v>0</v>
      </c>
    </row>
    <row r="84" spans="1:25" ht="21" customHeight="1">
      <c r="A84" s="93">
        <v>410300</v>
      </c>
      <c r="B84" s="68" t="s">
        <v>207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164"/>
      <c r="P84" s="164"/>
      <c r="Q84" s="164"/>
      <c r="R84" s="70"/>
      <c r="S84" s="70"/>
      <c r="T84" s="70"/>
      <c r="U84" s="70"/>
      <c r="V84" s="70"/>
      <c r="W84" s="70"/>
      <c r="X84" s="70"/>
      <c r="Y84" s="95">
        <f t="shared" si="31"/>
        <v>0</v>
      </c>
    </row>
    <row r="85" spans="1:25" ht="21" customHeight="1">
      <c r="A85" s="93">
        <v>410400</v>
      </c>
      <c r="B85" s="68" t="s">
        <v>225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165"/>
      <c r="P85" s="165"/>
      <c r="Q85" s="165"/>
      <c r="R85" s="76"/>
      <c r="S85" s="76"/>
      <c r="T85" s="76"/>
      <c r="U85" s="76"/>
      <c r="V85" s="76"/>
      <c r="W85" s="76"/>
      <c r="X85" s="76"/>
      <c r="Y85" s="95">
        <f t="shared" si="31"/>
        <v>0</v>
      </c>
    </row>
    <row r="86" spans="1:25" ht="21" customHeight="1">
      <c r="A86" s="93">
        <v>410500</v>
      </c>
      <c r="B86" s="68" t="s">
        <v>226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165"/>
      <c r="P86" s="165"/>
      <c r="Q86" s="165"/>
      <c r="R86" s="76"/>
      <c r="S86" s="76"/>
      <c r="T86" s="76"/>
      <c r="U86" s="76"/>
      <c r="V86" s="76"/>
      <c r="W86" s="76"/>
      <c r="X86" s="76"/>
      <c r="Y86" s="95">
        <f t="shared" si="31"/>
        <v>0</v>
      </c>
    </row>
    <row r="87" spans="1:25" ht="21" customHeight="1">
      <c r="A87" s="93">
        <v>410600</v>
      </c>
      <c r="B87" s="68" t="s">
        <v>227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165"/>
      <c r="P87" s="165"/>
      <c r="Q87" s="165"/>
      <c r="R87" s="76"/>
      <c r="S87" s="76"/>
      <c r="T87" s="76"/>
      <c r="U87" s="76"/>
      <c r="V87" s="76"/>
      <c r="W87" s="76"/>
      <c r="X87" s="76"/>
      <c r="Y87" s="95">
        <f t="shared" si="31"/>
        <v>0</v>
      </c>
    </row>
    <row r="88" spans="1:25" ht="21" customHeight="1">
      <c r="A88" s="93">
        <v>410700</v>
      </c>
      <c r="B88" s="68" t="s">
        <v>208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164"/>
      <c r="P88" s="164"/>
      <c r="Q88" s="164"/>
      <c r="R88" s="70"/>
      <c r="S88" s="70"/>
      <c r="T88" s="70"/>
      <c r="U88" s="70"/>
      <c r="V88" s="70"/>
      <c r="W88" s="70"/>
      <c r="X88" s="70"/>
      <c r="Y88" s="95">
        <f t="shared" si="31"/>
        <v>0</v>
      </c>
    </row>
    <row r="89" spans="1:25" ht="21" hidden="1" customHeight="1">
      <c r="A89" s="93">
        <v>410800</v>
      </c>
      <c r="B89" s="68" t="s">
        <v>228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165"/>
      <c r="P89" s="165"/>
      <c r="Q89" s="165"/>
      <c r="R89" s="76"/>
      <c r="S89" s="76"/>
      <c r="T89" s="76"/>
      <c r="U89" s="76"/>
      <c r="V89" s="76"/>
      <c r="W89" s="76"/>
      <c r="X89" s="76"/>
      <c r="Y89" s="95">
        <f t="shared" si="31"/>
        <v>0</v>
      </c>
    </row>
    <row r="90" spans="1:25" ht="21" hidden="1" customHeight="1">
      <c r="A90" s="93">
        <v>410900</v>
      </c>
      <c r="B90" s="68" t="s">
        <v>243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165"/>
      <c r="P90" s="165"/>
      <c r="Q90" s="165"/>
      <c r="R90" s="76"/>
      <c r="S90" s="76"/>
      <c r="T90" s="76"/>
      <c r="U90" s="76"/>
      <c r="V90" s="76"/>
      <c r="W90" s="76"/>
      <c r="X90" s="76"/>
      <c r="Y90" s="95">
        <f t="shared" si="31"/>
        <v>0</v>
      </c>
    </row>
    <row r="91" spans="1:25" ht="21" customHeight="1">
      <c r="A91" s="93">
        <v>411000</v>
      </c>
      <c r="B91" s="68" t="s">
        <v>295</v>
      </c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165"/>
      <c r="P91" s="165"/>
      <c r="Q91" s="165"/>
      <c r="R91" s="76"/>
      <c r="S91" s="76"/>
      <c r="T91" s="76"/>
      <c r="U91" s="76"/>
      <c r="V91" s="76"/>
      <c r="W91" s="76"/>
      <c r="X91" s="76"/>
      <c r="Y91" s="95">
        <f t="shared" si="31"/>
        <v>0</v>
      </c>
    </row>
    <row r="92" spans="1:25" ht="21" customHeight="1">
      <c r="A92" s="93">
        <v>411100</v>
      </c>
      <c r="B92" s="68" t="s">
        <v>260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165"/>
      <c r="P92" s="165"/>
      <c r="Q92" s="165"/>
      <c r="R92" s="76"/>
      <c r="S92" s="76"/>
      <c r="T92" s="76"/>
      <c r="U92" s="76"/>
      <c r="V92" s="76"/>
      <c r="W92" s="76"/>
      <c r="X92" s="76"/>
      <c r="Y92" s="95">
        <f t="shared" si="31"/>
        <v>0</v>
      </c>
    </row>
    <row r="93" spans="1:25" ht="21" customHeight="1">
      <c r="A93" s="93">
        <v>411300</v>
      </c>
      <c r="B93" s="68" t="s">
        <v>296</v>
      </c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165"/>
      <c r="P93" s="165"/>
      <c r="Q93" s="165"/>
      <c r="R93" s="76"/>
      <c r="S93" s="76"/>
      <c r="T93" s="76"/>
      <c r="U93" s="76"/>
      <c r="V93" s="76"/>
      <c r="W93" s="76"/>
      <c r="X93" s="76"/>
      <c r="Y93" s="95">
        <f t="shared" si="31"/>
        <v>0</v>
      </c>
    </row>
    <row r="94" spans="1:25" ht="21" customHeight="1">
      <c r="A94" s="93">
        <v>411600</v>
      </c>
      <c r="B94" s="68" t="s">
        <v>229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164"/>
      <c r="P94" s="164"/>
      <c r="Q94" s="164"/>
      <c r="R94" s="70"/>
      <c r="S94" s="70"/>
      <c r="T94" s="70"/>
      <c r="U94" s="70"/>
      <c r="V94" s="70"/>
      <c r="W94" s="70"/>
      <c r="X94" s="70"/>
      <c r="Y94" s="95">
        <f>SUM(C94:X94)</f>
        <v>0</v>
      </c>
    </row>
    <row r="95" spans="1:25" ht="21" customHeight="1">
      <c r="A95" s="93">
        <v>411800</v>
      </c>
      <c r="B95" s="68" t="s">
        <v>209</v>
      </c>
      <c r="C95" s="70"/>
      <c r="D95" s="70"/>
      <c r="E95" s="70"/>
      <c r="F95" s="70"/>
      <c r="G95" s="70">
        <v>0</v>
      </c>
      <c r="H95" s="70"/>
      <c r="I95" s="70"/>
      <c r="J95" s="70"/>
      <c r="K95" s="70"/>
      <c r="L95" s="70"/>
      <c r="M95" s="70"/>
      <c r="N95" s="70"/>
      <c r="O95" s="164"/>
      <c r="P95" s="164"/>
      <c r="Q95" s="164"/>
      <c r="R95" s="70"/>
      <c r="S95" s="70"/>
      <c r="T95" s="70"/>
      <c r="U95" s="70"/>
      <c r="V95" s="70"/>
      <c r="W95" s="70">
        <v>0</v>
      </c>
      <c r="X95" s="70"/>
      <c r="Y95" s="95">
        <f>SUM(C95:X95)</f>
        <v>0</v>
      </c>
    </row>
    <row r="96" spans="1:25" ht="21" customHeight="1">
      <c r="A96" s="426" t="s">
        <v>174</v>
      </c>
      <c r="B96" s="427"/>
      <c r="C96" s="95">
        <f>SUM(C82:C95)</f>
        <v>0</v>
      </c>
      <c r="D96" s="95">
        <f t="shared" ref="D96:P96" si="32">SUM(D82:D95)</f>
        <v>0</v>
      </c>
      <c r="E96" s="95">
        <f t="shared" si="32"/>
        <v>0</v>
      </c>
      <c r="F96" s="95">
        <f t="shared" si="32"/>
        <v>0</v>
      </c>
      <c r="G96" s="95">
        <f t="shared" si="32"/>
        <v>0</v>
      </c>
      <c r="H96" s="95">
        <f t="shared" si="32"/>
        <v>0</v>
      </c>
      <c r="I96" s="95">
        <f t="shared" si="32"/>
        <v>0</v>
      </c>
      <c r="J96" s="95">
        <f t="shared" si="32"/>
        <v>0</v>
      </c>
      <c r="K96" s="95">
        <f t="shared" si="32"/>
        <v>0</v>
      </c>
      <c r="L96" s="95">
        <f t="shared" si="32"/>
        <v>0</v>
      </c>
      <c r="M96" s="95">
        <f t="shared" si="32"/>
        <v>0</v>
      </c>
      <c r="N96" s="95">
        <f t="shared" si="32"/>
        <v>0</v>
      </c>
      <c r="O96" s="95">
        <f t="shared" ref="O96" si="33">SUM(O82:O95)</f>
        <v>0</v>
      </c>
      <c r="P96" s="95">
        <f t="shared" si="32"/>
        <v>0</v>
      </c>
      <c r="Q96" s="166">
        <f>SUM(Q82:Q95)</f>
        <v>0</v>
      </c>
      <c r="R96" s="95">
        <f>SUM(R82:R95)</f>
        <v>0</v>
      </c>
      <c r="S96" s="95">
        <f>SUM(S82:S95)</f>
        <v>0</v>
      </c>
      <c r="T96" s="95"/>
      <c r="U96" s="95">
        <f>SUM(U82:U95)</f>
        <v>0</v>
      </c>
      <c r="V96" s="95">
        <f>SUM(V82:V95)</f>
        <v>0</v>
      </c>
      <c r="W96" s="95">
        <f>SUM(W82:W95)</f>
        <v>0</v>
      </c>
      <c r="X96" s="95">
        <f>SUM(X82:X95)</f>
        <v>0</v>
      </c>
      <c r="Y96" s="95">
        <f>SUM(C96:X96)</f>
        <v>0</v>
      </c>
    </row>
    <row r="97" spans="1:25" ht="21" customHeight="1">
      <c r="A97" s="428" t="s">
        <v>175</v>
      </c>
      <c r="B97" s="429"/>
      <c r="C97" s="99">
        <f>+C96</f>
        <v>0</v>
      </c>
      <c r="D97" s="99">
        <f t="shared" ref="D97:Y97" si="34">+D96</f>
        <v>0</v>
      </c>
      <c r="E97" s="99">
        <f t="shared" si="34"/>
        <v>0</v>
      </c>
      <c r="F97" s="99">
        <f t="shared" si="34"/>
        <v>0</v>
      </c>
      <c r="G97" s="99">
        <f t="shared" si="34"/>
        <v>0</v>
      </c>
      <c r="H97" s="99">
        <f t="shared" si="34"/>
        <v>0</v>
      </c>
      <c r="I97" s="99">
        <f t="shared" si="34"/>
        <v>0</v>
      </c>
      <c r="J97" s="99">
        <f t="shared" si="34"/>
        <v>0</v>
      </c>
      <c r="K97" s="99">
        <f t="shared" si="34"/>
        <v>0</v>
      </c>
      <c r="L97" s="99">
        <f t="shared" si="34"/>
        <v>0</v>
      </c>
      <c r="M97" s="99">
        <f t="shared" si="34"/>
        <v>0</v>
      </c>
      <c r="N97" s="99">
        <f t="shared" si="34"/>
        <v>0</v>
      </c>
      <c r="O97" s="99">
        <f t="shared" si="34"/>
        <v>0</v>
      </c>
      <c r="P97" s="99">
        <f t="shared" si="34"/>
        <v>0</v>
      </c>
      <c r="Q97" s="99">
        <f t="shared" si="34"/>
        <v>0</v>
      </c>
      <c r="R97" s="99">
        <f t="shared" si="34"/>
        <v>0</v>
      </c>
      <c r="S97" s="99">
        <f t="shared" si="34"/>
        <v>0</v>
      </c>
      <c r="T97" s="99">
        <f t="shared" si="34"/>
        <v>0</v>
      </c>
      <c r="U97" s="99">
        <f t="shared" si="34"/>
        <v>0</v>
      </c>
      <c r="V97" s="99">
        <f t="shared" si="34"/>
        <v>0</v>
      </c>
      <c r="W97" s="99">
        <f t="shared" si="34"/>
        <v>0</v>
      </c>
      <c r="X97" s="99">
        <f t="shared" si="34"/>
        <v>0</v>
      </c>
      <c r="Y97" s="99">
        <f t="shared" si="34"/>
        <v>0</v>
      </c>
    </row>
    <row r="98" spans="1:25" ht="21" customHeight="1">
      <c r="A98" s="435" t="s">
        <v>139</v>
      </c>
      <c r="B98" s="435"/>
      <c r="C98" s="434" t="s">
        <v>141</v>
      </c>
      <c r="D98" s="434"/>
      <c r="E98" s="437" t="s">
        <v>144</v>
      </c>
      <c r="F98" s="438"/>
      <c r="G98" s="434" t="s">
        <v>146</v>
      </c>
      <c r="H98" s="435"/>
      <c r="I98" s="437" t="s">
        <v>160</v>
      </c>
      <c r="J98" s="438"/>
      <c r="K98" s="264" t="s">
        <v>161</v>
      </c>
      <c r="L98" s="437" t="s">
        <v>162</v>
      </c>
      <c r="M98" s="439"/>
      <c r="N98" s="439"/>
      <c r="O98" s="438"/>
      <c r="P98" s="437" t="s">
        <v>163</v>
      </c>
      <c r="Q98" s="438"/>
      <c r="R98" s="437" t="s">
        <v>164</v>
      </c>
      <c r="S98" s="439"/>
      <c r="T98" s="438"/>
      <c r="U98" s="434" t="s">
        <v>165</v>
      </c>
      <c r="V98" s="435"/>
      <c r="W98" s="264" t="s">
        <v>212</v>
      </c>
      <c r="X98" s="264" t="s">
        <v>166</v>
      </c>
      <c r="Y98" s="436" t="s">
        <v>17</v>
      </c>
    </row>
    <row r="99" spans="1:25" ht="21" customHeight="1">
      <c r="A99" s="435" t="s">
        <v>140</v>
      </c>
      <c r="B99" s="435"/>
      <c r="C99" s="370" t="s">
        <v>142</v>
      </c>
      <c r="D99" s="264" t="s">
        <v>143</v>
      </c>
      <c r="E99" s="264" t="s">
        <v>145</v>
      </c>
      <c r="F99" s="264" t="s">
        <v>214</v>
      </c>
      <c r="G99" s="264" t="s">
        <v>147</v>
      </c>
      <c r="H99" s="264" t="s">
        <v>148</v>
      </c>
      <c r="I99" s="264" t="s">
        <v>149</v>
      </c>
      <c r="J99" s="264" t="s">
        <v>150</v>
      </c>
      <c r="K99" s="264" t="s">
        <v>151</v>
      </c>
      <c r="L99" s="264" t="s">
        <v>152</v>
      </c>
      <c r="M99" s="264" t="s">
        <v>153</v>
      </c>
      <c r="N99" s="264" t="s">
        <v>238</v>
      </c>
      <c r="O99" s="269" t="s">
        <v>331</v>
      </c>
      <c r="P99" s="265" t="s">
        <v>303</v>
      </c>
      <c r="Q99" s="265" t="s">
        <v>154</v>
      </c>
      <c r="R99" s="264" t="s">
        <v>155</v>
      </c>
      <c r="S99" s="264" t="s">
        <v>156</v>
      </c>
      <c r="T99" s="264" t="s">
        <v>216</v>
      </c>
      <c r="U99" s="264" t="s">
        <v>157</v>
      </c>
      <c r="V99" s="264" t="s">
        <v>158</v>
      </c>
      <c r="W99" s="264" t="s">
        <v>213</v>
      </c>
      <c r="X99" s="264" t="s">
        <v>159</v>
      </c>
      <c r="Y99" s="436"/>
    </row>
    <row r="100" spans="1:25" ht="21" customHeight="1">
      <c r="A100" s="432" t="s">
        <v>393</v>
      </c>
      <c r="B100" s="433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67"/>
      <c r="P100" s="167"/>
      <c r="Q100" s="167"/>
      <c r="R100" s="100"/>
      <c r="S100" s="100"/>
      <c r="T100" s="100"/>
      <c r="U100" s="100"/>
      <c r="V100" s="100"/>
      <c r="W100" s="100"/>
      <c r="X100" s="100"/>
      <c r="Y100" s="101">
        <f>SUM(C100:X100)</f>
        <v>0</v>
      </c>
    </row>
    <row r="101" spans="1:25" ht="21" customHeight="1">
      <c r="A101" s="93">
        <v>420700</v>
      </c>
      <c r="B101" s="94" t="s">
        <v>394</v>
      </c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164"/>
      <c r="P101" s="164"/>
      <c r="Q101" s="164"/>
      <c r="R101" s="70"/>
      <c r="S101" s="70"/>
      <c r="T101" s="70"/>
      <c r="U101" s="70"/>
      <c r="V101" s="70"/>
      <c r="W101" s="70"/>
      <c r="X101" s="70"/>
      <c r="Y101" s="95">
        <f>SUM(C101:X101)</f>
        <v>0</v>
      </c>
    </row>
    <row r="102" spans="1:25" ht="21" customHeight="1">
      <c r="A102" s="96">
        <v>421000</v>
      </c>
      <c r="B102" s="97" t="s">
        <v>395</v>
      </c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165"/>
      <c r="P102" s="165"/>
      <c r="Q102" s="165"/>
      <c r="R102" s="76"/>
      <c r="S102" s="76"/>
      <c r="T102" s="76"/>
      <c r="U102" s="76"/>
      <c r="V102" s="76"/>
      <c r="W102" s="76"/>
      <c r="X102" s="76"/>
      <c r="Y102" s="95">
        <f t="shared" ref="Y102:Y103" si="35">SUM(C102:X102)</f>
        <v>0</v>
      </c>
    </row>
    <row r="103" spans="1:25" ht="21" customHeight="1">
      <c r="A103" s="96">
        <v>421100</v>
      </c>
      <c r="B103" s="97" t="s">
        <v>211</v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165"/>
      <c r="P103" s="165"/>
      <c r="Q103" s="165"/>
      <c r="R103" s="76"/>
      <c r="S103" s="76"/>
      <c r="T103" s="76"/>
      <c r="U103" s="76"/>
      <c r="V103" s="76"/>
      <c r="W103" s="76"/>
      <c r="X103" s="76"/>
      <c r="Y103" s="95">
        <f t="shared" si="35"/>
        <v>0</v>
      </c>
    </row>
    <row r="104" spans="1:25" ht="21" customHeight="1">
      <c r="A104" s="426" t="s">
        <v>174</v>
      </c>
      <c r="B104" s="427"/>
      <c r="C104" s="95">
        <f>SUM(C101:C103)</f>
        <v>0</v>
      </c>
      <c r="D104" s="95">
        <f t="shared" ref="D104:W104" si="36">SUM(D101:D103)</f>
        <v>0</v>
      </c>
      <c r="E104" s="95">
        <f t="shared" si="36"/>
        <v>0</v>
      </c>
      <c r="F104" s="95">
        <f t="shared" si="36"/>
        <v>0</v>
      </c>
      <c r="G104" s="95">
        <f t="shared" si="36"/>
        <v>0</v>
      </c>
      <c r="H104" s="95">
        <f t="shared" si="36"/>
        <v>0</v>
      </c>
      <c r="I104" s="95">
        <f t="shared" si="36"/>
        <v>0</v>
      </c>
      <c r="J104" s="95">
        <f t="shared" si="36"/>
        <v>0</v>
      </c>
      <c r="K104" s="95">
        <f t="shared" si="36"/>
        <v>0</v>
      </c>
      <c r="L104" s="95">
        <f t="shared" si="36"/>
        <v>0</v>
      </c>
      <c r="M104" s="95">
        <f t="shared" si="36"/>
        <v>0</v>
      </c>
      <c r="N104" s="95">
        <f t="shared" si="36"/>
        <v>0</v>
      </c>
      <c r="O104" s="95">
        <f t="shared" si="36"/>
        <v>0</v>
      </c>
      <c r="P104" s="95">
        <f t="shared" si="36"/>
        <v>0</v>
      </c>
      <c r="Q104" s="95">
        <f t="shared" si="36"/>
        <v>0</v>
      </c>
      <c r="R104" s="95">
        <f t="shared" si="36"/>
        <v>0</v>
      </c>
      <c r="S104" s="95">
        <f t="shared" si="36"/>
        <v>0</v>
      </c>
      <c r="T104" s="95">
        <f t="shared" si="36"/>
        <v>0</v>
      </c>
      <c r="U104" s="95">
        <f t="shared" si="36"/>
        <v>0</v>
      </c>
      <c r="V104" s="95">
        <f t="shared" si="36"/>
        <v>0</v>
      </c>
      <c r="W104" s="95">
        <f t="shared" si="36"/>
        <v>0</v>
      </c>
      <c r="X104" s="95">
        <f>SUM(X101:X103)</f>
        <v>0</v>
      </c>
      <c r="Y104" s="95">
        <f>SUM(C104:X104)</f>
        <v>0</v>
      </c>
    </row>
    <row r="105" spans="1:25" ht="21" customHeight="1">
      <c r="A105" s="428" t="s">
        <v>175</v>
      </c>
      <c r="B105" s="429"/>
      <c r="C105" s="99">
        <f>+C104</f>
        <v>0</v>
      </c>
      <c r="D105" s="99">
        <f t="shared" ref="D105:Y105" si="37">+D104</f>
        <v>0</v>
      </c>
      <c r="E105" s="99">
        <f t="shared" si="37"/>
        <v>0</v>
      </c>
      <c r="F105" s="99">
        <f t="shared" si="37"/>
        <v>0</v>
      </c>
      <c r="G105" s="99">
        <f t="shared" si="37"/>
        <v>0</v>
      </c>
      <c r="H105" s="99">
        <f t="shared" si="37"/>
        <v>0</v>
      </c>
      <c r="I105" s="99">
        <f t="shared" si="37"/>
        <v>0</v>
      </c>
      <c r="J105" s="99">
        <f t="shared" si="37"/>
        <v>0</v>
      </c>
      <c r="K105" s="99">
        <f t="shared" si="37"/>
        <v>0</v>
      </c>
      <c r="L105" s="99">
        <f t="shared" si="37"/>
        <v>0</v>
      </c>
      <c r="M105" s="99">
        <f t="shared" si="37"/>
        <v>0</v>
      </c>
      <c r="N105" s="99">
        <f t="shared" si="37"/>
        <v>0</v>
      </c>
      <c r="O105" s="99">
        <f t="shared" si="37"/>
        <v>0</v>
      </c>
      <c r="P105" s="99">
        <f t="shared" si="37"/>
        <v>0</v>
      </c>
      <c r="Q105" s="99">
        <f t="shared" si="37"/>
        <v>0</v>
      </c>
      <c r="R105" s="99">
        <f t="shared" si="37"/>
        <v>0</v>
      </c>
      <c r="S105" s="99">
        <f t="shared" si="37"/>
        <v>0</v>
      </c>
      <c r="T105" s="99">
        <f t="shared" si="37"/>
        <v>0</v>
      </c>
      <c r="U105" s="99">
        <f t="shared" si="37"/>
        <v>0</v>
      </c>
      <c r="V105" s="99">
        <f t="shared" si="37"/>
        <v>0</v>
      </c>
      <c r="W105" s="99">
        <f t="shared" si="37"/>
        <v>0</v>
      </c>
      <c r="X105" s="99">
        <f t="shared" si="37"/>
        <v>0</v>
      </c>
      <c r="Y105" s="99">
        <f t="shared" si="37"/>
        <v>0</v>
      </c>
    </row>
    <row r="106" spans="1:25" ht="21" customHeight="1">
      <c r="A106" s="432" t="s">
        <v>397</v>
      </c>
      <c r="B106" s="433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67"/>
      <c r="P106" s="167"/>
      <c r="Q106" s="167"/>
      <c r="R106" s="100"/>
      <c r="S106" s="100"/>
      <c r="T106" s="100"/>
      <c r="U106" s="100"/>
      <c r="V106" s="100"/>
      <c r="W106" s="100"/>
      <c r="X106" s="100"/>
      <c r="Y106" s="101">
        <f t="shared" ref="Y106:Y108" si="38">SUM(C106:X106)</f>
        <v>0</v>
      </c>
    </row>
    <row r="107" spans="1:25" ht="21" customHeight="1">
      <c r="A107" s="93">
        <v>510100</v>
      </c>
      <c r="B107" s="102" t="s">
        <v>12</v>
      </c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164"/>
      <c r="P107" s="164"/>
      <c r="Q107" s="164"/>
      <c r="R107" s="70"/>
      <c r="S107" s="70"/>
      <c r="T107" s="70"/>
      <c r="U107" s="70"/>
      <c r="V107" s="70"/>
      <c r="W107" s="70"/>
      <c r="X107" s="70"/>
      <c r="Y107" s="95">
        <f t="shared" si="38"/>
        <v>0</v>
      </c>
    </row>
    <row r="108" spans="1:25" ht="21" customHeight="1">
      <c r="A108" s="426" t="s">
        <v>174</v>
      </c>
      <c r="B108" s="427"/>
      <c r="C108" s="95">
        <f t="shared" ref="C108:X108" si="39">SUM(C107:C107)</f>
        <v>0</v>
      </c>
      <c r="D108" s="95">
        <f t="shared" si="39"/>
        <v>0</v>
      </c>
      <c r="E108" s="95">
        <f t="shared" si="39"/>
        <v>0</v>
      </c>
      <c r="F108" s="95">
        <f t="shared" si="39"/>
        <v>0</v>
      </c>
      <c r="G108" s="95">
        <f t="shared" si="39"/>
        <v>0</v>
      </c>
      <c r="H108" s="95">
        <f t="shared" si="39"/>
        <v>0</v>
      </c>
      <c r="I108" s="95">
        <f t="shared" si="39"/>
        <v>0</v>
      </c>
      <c r="J108" s="95">
        <f t="shared" si="39"/>
        <v>0</v>
      </c>
      <c r="K108" s="95">
        <f t="shared" si="39"/>
        <v>0</v>
      </c>
      <c r="L108" s="95">
        <f t="shared" si="39"/>
        <v>0</v>
      </c>
      <c r="M108" s="95">
        <f t="shared" si="39"/>
        <v>0</v>
      </c>
      <c r="N108" s="95">
        <f t="shared" si="39"/>
        <v>0</v>
      </c>
      <c r="O108" s="95">
        <f t="shared" si="39"/>
        <v>0</v>
      </c>
      <c r="P108" s="95">
        <f t="shared" si="39"/>
        <v>0</v>
      </c>
      <c r="Q108" s="95">
        <f t="shared" si="39"/>
        <v>0</v>
      </c>
      <c r="R108" s="95">
        <f t="shared" si="39"/>
        <v>0</v>
      </c>
      <c r="S108" s="95">
        <f t="shared" si="39"/>
        <v>0</v>
      </c>
      <c r="T108" s="95">
        <f t="shared" si="39"/>
        <v>0</v>
      </c>
      <c r="U108" s="95">
        <f t="shared" si="39"/>
        <v>0</v>
      </c>
      <c r="V108" s="95">
        <f t="shared" si="39"/>
        <v>0</v>
      </c>
      <c r="W108" s="95">
        <f t="shared" si="39"/>
        <v>0</v>
      </c>
      <c r="X108" s="95">
        <f t="shared" si="39"/>
        <v>0</v>
      </c>
      <c r="Y108" s="95">
        <f t="shared" si="38"/>
        <v>0</v>
      </c>
    </row>
    <row r="109" spans="1:25" ht="21" customHeight="1">
      <c r="A109" s="428" t="s">
        <v>175</v>
      </c>
      <c r="B109" s="429"/>
      <c r="C109" s="99">
        <f>+C108</f>
        <v>0</v>
      </c>
      <c r="D109" s="99">
        <f t="shared" ref="D109:Y109" si="40">+D108</f>
        <v>0</v>
      </c>
      <c r="E109" s="99">
        <f t="shared" si="40"/>
        <v>0</v>
      </c>
      <c r="F109" s="99">
        <f t="shared" si="40"/>
        <v>0</v>
      </c>
      <c r="G109" s="99">
        <f t="shared" si="40"/>
        <v>0</v>
      </c>
      <c r="H109" s="99">
        <f t="shared" si="40"/>
        <v>0</v>
      </c>
      <c r="I109" s="99">
        <f t="shared" si="40"/>
        <v>0</v>
      </c>
      <c r="J109" s="99">
        <f t="shared" si="40"/>
        <v>0</v>
      </c>
      <c r="K109" s="99">
        <f t="shared" si="40"/>
        <v>0</v>
      </c>
      <c r="L109" s="99">
        <f t="shared" si="40"/>
        <v>0</v>
      </c>
      <c r="M109" s="99">
        <f t="shared" si="40"/>
        <v>0</v>
      </c>
      <c r="N109" s="99">
        <f t="shared" si="40"/>
        <v>0</v>
      </c>
      <c r="O109" s="99">
        <f t="shared" si="40"/>
        <v>0</v>
      </c>
      <c r="P109" s="99">
        <f t="shared" si="40"/>
        <v>0</v>
      </c>
      <c r="Q109" s="99">
        <f t="shared" si="40"/>
        <v>0</v>
      </c>
      <c r="R109" s="99">
        <f t="shared" si="40"/>
        <v>0</v>
      </c>
      <c r="S109" s="99">
        <f t="shared" si="40"/>
        <v>0</v>
      </c>
      <c r="T109" s="99">
        <f t="shared" si="40"/>
        <v>0</v>
      </c>
      <c r="U109" s="99">
        <f t="shared" si="40"/>
        <v>0</v>
      </c>
      <c r="V109" s="99">
        <f t="shared" si="40"/>
        <v>0</v>
      </c>
      <c r="W109" s="99">
        <f t="shared" si="40"/>
        <v>0</v>
      </c>
      <c r="X109" s="99">
        <f t="shared" si="40"/>
        <v>0</v>
      </c>
      <c r="Y109" s="99">
        <f t="shared" si="40"/>
        <v>0</v>
      </c>
    </row>
    <row r="110" spans="1:25" ht="21" customHeight="1">
      <c r="A110" s="432" t="s">
        <v>396</v>
      </c>
      <c r="B110" s="433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67"/>
      <c r="P110" s="167"/>
      <c r="Q110" s="167"/>
      <c r="R110" s="100"/>
      <c r="S110" s="100"/>
      <c r="T110" s="100"/>
      <c r="U110" s="100"/>
      <c r="V110" s="100"/>
      <c r="W110" s="100"/>
      <c r="X110" s="100"/>
      <c r="Y110" s="101">
        <f>SUM(C110:X110)</f>
        <v>0</v>
      </c>
    </row>
    <row r="111" spans="1:25" ht="21" customHeight="1">
      <c r="A111" s="93">
        <v>610100</v>
      </c>
      <c r="B111" s="94" t="s">
        <v>398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164"/>
      <c r="P111" s="164"/>
      <c r="Q111" s="164"/>
      <c r="R111" s="70"/>
      <c r="S111" s="70"/>
      <c r="T111" s="70"/>
      <c r="U111" s="70"/>
      <c r="V111" s="70"/>
      <c r="W111" s="70"/>
      <c r="X111" s="70"/>
      <c r="Y111" s="95">
        <f>SUM(C111:X111)</f>
        <v>0</v>
      </c>
    </row>
    <row r="112" spans="1:25" ht="21" customHeight="1">
      <c r="A112" s="96">
        <v>610200</v>
      </c>
      <c r="B112" s="97" t="s">
        <v>399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165"/>
      <c r="P112" s="165"/>
      <c r="Q112" s="165"/>
      <c r="R112" s="76"/>
      <c r="S112" s="76"/>
      <c r="T112" s="76"/>
      <c r="U112" s="76"/>
      <c r="V112" s="76"/>
      <c r="W112" s="76"/>
      <c r="X112" s="76"/>
      <c r="Y112" s="95">
        <f t="shared" ref="Y112:Y114" si="41">SUM(C112:X112)</f>
        <v>0</v>
      </c>
    </row>
    <row r="113" spans="1:26" ht="21" customHeight="1">
      <c r="A113" s="96">
        <v>610300</v>
      </c>
      <c r="B113" s="97" t="s">
        <v>400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165"/>
      <c r="P113" s="165"/>
      <c r="Q113" s="165"/>
      <c r="R113" s="76"/>
      <c r="S113" s="76">
        <v>7000</v>
      </c>
      <c r="T113" s="76"/>
      <c r="U113" s="76"/>
      <c r="V113" s="76"/>
      <c r="W113" s="76"/>
      <c r="X113" s="76"/>
      <c r="Y113" s="95">
        <f>SUM(C113:X113)</f>
        <v>7000</v>
      </c>
    </row>
    <row r="114" spans="1:26" ht="21" customHeight="1">
      <c r="A114" s="96">
        <v>610400</v>
      </c>
      <c r="B114" s="97" t="s">
        <v>401</v>
      </c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165"/>
      <c r="P114" s="165"/>
      <c r="Q114" s="165"/>
      <c r="R114" s="76"/>
      <c r="S114" s="76"/>
      <c r="T114" s="76"/>
      <c r="U114" s="76"/>
      <c r="V114" s="76"/>
      <c r="W114" s="76"/>
      <c r="X114" s="76"/>
      <c r="Y114" s="95">
        <f t="shared" si="41"/>
        <v>0</v>
      </c>
    </row>
    <row r="115" spans="1:26" ht="21" customHeight="1">
      <c r="A115" s="426" t="s">
        <v>174</v>
      </c>
      <c r="B115" s="427"/>
      <c r="C115" s="95">
        <f t="shared" ref="C115:J115" si="42">SUM(C111:C114)</f>
        <v>0</v>
      </c>
      <c r="D115" s="95">
        <f t="shared" si="42"/>
        <v>0</v>
      </c>
      <c r="E115" s="95">
        <f t="shared" si="42"/>
        <v>0</v>
      </c>
      <c r="F115" s="95">
        <f t="shared" si="42"/>
        <v>0</v>
      </c>
      <c r="G115" s="95">
        <f t="shared" si="42"/>
        <v>0</v>
      </c>
      <c r="H115" s="95">
        <f t="shared" si="42"/>
        <v>0</v>
      </c>
      <c r="I115" s="95">
        <f t="shared" si="42"/>
        <v>0</v>
      </c>
      <c r="J115" s="95">
        <f t="shared" si="42"/>
        <v>0</v>
      </c>
      <c r="K115" s="95">
        <f t="shared" ref="K115:Y115" si="43">SUM(K111:K114)</f>
        <v>0</v>
      </c>
      <c r="L115" s="95">
        <f>SUM(L111:L114)</f>
        <v>0</v>
      </c>
      <c r="M115" s="95">
        <f t="shared" si="43"/>
        <v>0</v>
      </c>
      <c r="N115" s="95">
        <f t="shared" si="43"/>
        <v>0</v>
      </c>
      <c r="O115" s="95">
        <f t="shared" ref="O115" si="44">SUM(O111:O114)</f>
        <v>0</v>
      </c>
      <c r="P115" s="95">
        <f t="shared" si="43"/>
        <v>0</v>
      </c>
      <c r="Q115" s="95">
        <f t="shared" si="43"/>
        <v>0</v>
      </c>
      <c r="R115" s="95">
        <f t="shared" si="43"/>
        <v>0</v>
      </c>
      <c r="S115" s="95">
        <f t="shared" si="43"/>
        <v>7000</v>
      </c>
      <c r="T115" s="95">
        <f t="shared" si="43"/>
        <v>0</v>
      </c>
      <c r="U115" s="95">
        <f t="shared" si="43"/>
        <v>0</v>
      </c>
      <c r="V115" s="95">
        <f t="shared" si="43"/>
        <v>0</v>
      </c>
      <c r="W115" s="95">
        <f t="shared" si="43"/>
        <v>0</v>
      </c>
      <c r="X115" s="95">
        <f>SUM(X111:X114)</f>
        <v>0</v>
      </c>
      <c r="Y115" s="95">
        <f t="shared" si="43"/>
        <v>7000</v>
      </c>
    </row>
    <row r="116" spans="1:26" ht="21" customHeight="1">
      <c r="A116" s="428" t="s">
        <v>175</v>
      </c>
      <c r="B116" s="429"/>
      <c r="C116" s="99">
        <f>+C115</f>
        <v>0</v>
      </c>
      <c r="D116" s="99">
        <f t="shared" ref="D116:Y116" si="45">+D115</f>
        <v>0</v>
      </c>
      <c r="E116" s="99">
        <f t="shared" si="45"/>
        <v>0</v>
      </c>
      <c r="F116" s="99">
        <f t="shared" si="45"/>
        <v>0</v>
      </c>
      <c r="G116" s="99">
        <f t="shared" si="45"/>
        <v>0</v>
      </c>
      <c r="H116" s="99">
        <f t="shared" si="45"/>
        <v>0</v>
      </c>
      <c r="I116" s="99">
        <f t="shared" si="45"/>
        <v>0</v>
      </c>
      <c r="J116" s="99">
        <f t="shared" si="45"/>
        <v>0</v>
      </c>
      <c r="K116" s="99">
        <f t="shared" si="45"/>
        <v>0</v>
      </c>
      <c r="L116" s="99">
        <f t="shared" si="45"/>
        <v>0</v>
      </c>
      <c r="M116" s="99">
        <f t="shared" si="45"/>
        <v>0</v>
      </c>
      <c r="N116" s="99">
        <f t="shared" si="45"/>
        <v>0</v>
      </c>
      <c r="O116" s="99">
        <f t="shared" si="45"/>
        <v>0</v>
      </c>
      <c r="P116" s="99">
        <f t="shared" si="45"/>
        <v>0</v>
      </c>
      <c r="Q116" s="99">
        <f t="shared" si="45"/>
        <v>0</v>
      </c>
      <c r="R116" s="99">
        <f t="shared" si="45"/>
        <v>0</v>
      </c>
      <c r="S116" s="99">
        <f t="shared" si="45"/>
        <v>7000</v>
      </c>
      <c r="T116" s="99">
        <f t="shared" si="45"/>
        <v>0</v>
      </c>
      <c r="U116" s="99">
        <f t="shared" si="45"/>
        <v>0</v>
      </c>
      <c r="V116" s="99">
        <f t="shared" si="45"/>
        <v>0</v>
      </c>
      <c r="W116" s="99">
        <f t="shared" si="45"/>
        <v>0</v>
      </c>
      <c r="X116" s="99">
        <f t="shared" si="45"/>
        <v>0</v>
      </c>
      <c r="Y116" s="99">
        <f t="shared" si="45"/>
        <v>7000</v>
      </c>
    </row>
    <row r="117" spans="1:26" ht="21" customHeight="1">
      <c r="A117" s="430" t="s">
        <v>174</v>
      </c>
      <c r="B117" s="431"/>
      <c r="C117" s="44">
        <f t="shared" ref="C117:X117" si="46">SUM(C17,C25,C37,C46,C53,C72,C79,C96,C104,C108,C115)</f>
        <v>617877.72</v>
      </c>
      <c r="D117" s="44">
        <f t="shared" si="46"/>
        <v>142001.60999999999</v>
      </c>
      <c r="E117" s="44">
        <f t="shared" si="46"/>
        <v>33280</v>
      </c>
      <c r="F117" s="44">
        <f t="shared" si="46"/>
        <v>0</v>
      </c>
      <c r="G117" s="44">
        <f t="shared" si="46"/>
        <v>68470</v>
      </c>
      <c r="H117" s="44">
        <f t="shared" si="46"/>
        <v>0</v>
      </c>
      <c r="I117" s="44">
        <f t="shared" si="46"/>
        <v>39410</v>
      </c>
      <c r="J117" s="44">
        <f t="shared" si="46"/>
        <v>0</v>
      </c>
      <c r="K117" s="44">
        <f t="shared" si="46"/>
        <v>0</v>
      </c>
      <c r="L117" s="44">
        <f t="shared" si="46"/>
        <v>119899</v>
      </c>
      <c r="M117" s="44">
        <f t="shared" si="46"/>
        <v>0</v>
      </c>
      <c r="N117" s="44">
        <f t="shared" si="46"/>
        <v>20116.25</v>
      </c>
      <c r="O117" s="44">
        <f t="shared" si="46"/>
        <v>0</v>
      </c>
      <c r="P117" s="44">
        <f t="shared" si="46"/>
        <v>54971</v>
      </c>
      <c r="Q117" s="44">
        <f t="shared" si="46"/>
        <v>0</v>
      </c>
      <c r="R117" s="44">
        <f t="shared" si="46"/>
        <v>12200</v>
      </c>
      <c r="S117" s="44">
        <f t="shared" si="46"/>
        <v>7000</v>
      </c>
      <c r="T117" s="44">
        <f t="shared" si="46"/>
        <v>0</v>
      </c>
      <c r="U117" s="44">
        <f t="shared" si="46"/>
        <v>0</v>
      </c>
      <c r="V117" s="44">
        <f t="shared" si="46"/>
        <v>0</v>
      </c>
      <c r="W117" s="44">
        <f t="shared" si="46"/>
        <v>46895.35</v>
      </c>
      <c r="X117" s="44">
        <f t="shared" si="46"/>
        <v>21850</v>
      </c>
      <c r="Y117" s="44">
        <f>SUM(C117:X117)</f>
        <v>1183970.9300000002</v>
      </c>
      <c r="Z117" s="91">
        <f>+งบดุลบัญชี!K119</f>
        <v>1183970.93</v>
      </c>
    </row>
    <row r="118" spans="1:26" ht="21" customHeight="1">
      <c r="A118" s="430" t="s">
        <v>175</v>
      </c>
      <c r="B118" s="431"/>
      <c r="C118" s="44">
        <f t="shared" ref="C118:X118" si="47">SUM(C18,C26,C38,C47,C54,C73,C80,C97,C105,C109,C116)</f>
        <v>617877.72</v>
      </c>
      <c r="D118" s="44">
        <f t="shared" si="47"/>
        <v>142001.60999999999</v>
      </c>
      <c r="E118" s="44">
        <f t="shared" si="47"/>
        <v>33280</v>
      </c>
      <c r="F118" s="44">
        <f t="shared" si="47"/>
        <v>0</v>
      </c>
      <c r="G118" s="44">
        <f t="shared" si="47"/>
        <v>68470</v>
      </c>
      <c r="H118" s="44">
        <f t="shared" si="47"/>
        <v>0</v>
      </c>
      <c r="I118" s="44">
        <f t="shared" si="47"/>
        <v>39410</v>
      </c>
      <c r="J118" s="44">
        <f t="shared" si="47"/>
        <v>0</v>
      </c>
      <c r="K118" s="44">
        <f t="shared" si="47"/>
        <v>0</v>
      </c>
      <c r="L118" s="44">
        <f t="shared" si="47"/>
        <v>119899</v>
      </c>
      <c r="M118" s="44">
        <f t="shared" si="47"/>
        <v>0</v>
      </c>
      <c r="N118" s="44">
        <f t="shared" si="47"/>
        <v>20116.25</v>
      </c>
      <c r="O118" s="44">
        <f t="shared" si="47"/>
        <v>0</v>
      </c>
      <c r="P118" s="44">
        <f t="shared" si="47"/>
        <v>54971</v>
      </c>
      <c r="Q118" s="44">
        <f t="shared" si="47"/>
        <v>0</v>
      </c>
      <c r="R118" s="44">
        <f t="shared" si="47"/>
        <v>12200</v>
      </c>
      <c r="S118" s="44">
        <f t="shared" si="47"/>
        <v>7000</v>
      </c>
      <c r="T118" s="44">
        <f t="shared" si="47"/>
        <v>0</v>
      </c>
      <c r="U118" s="44">
        <f t="shared" si="47"/>
        <v>0</v>
      </c>
      <c r="V118" s="44">
        <f t="shared" si="47"/>
        <v>0</v>
      </c>
      <c r="W118" s="44">
        <f t="shared" si="47"/>
        <v>46895.35</v>
      </c>
      <c r="X118" s="44">
        <f t="shared" si="47"/>
        <v>21850</v>
      </c>
      <c r="Y118" s="44">
        <f>SUM(C118:X118)</f>
        <v>1183970.9300000002</v>
      </c>
      <c r="Z118" s="91">
        <f>+Z117-Y117</f>
        <v>0</v>
      </c>
    </row>
    <row r="119" spans="1:26" ht="21" customHeight="1">
      <c r="A119" s="440" t="s">
        <v>253</v>
      </c>
      <c r="B119" s="440"/>
      <c r="C119" s="440"/>
      <c r="D119" s="440"/>
      <c r="E119" s="440"/>
      <c r="F119" s="440"/>
      <c r="G119" s="440"/>
      <c r="H119" s="440"/>
      <c r="I119" s="440"/>
      <c r="J119" s="440"/>
      <c r="K119" s="440"/>
      <c r="L119" s="440"/>
      <c r="M119" s="440"/>
      <c r="N119" s="440"/>
      <c r="O119" s="320"/>
      <c r="P119" s="441" t="str">
        <f>+A119</f>
        <v>เทศบาลตำบลเขาพระ อำเภอพิปูน จังหวัดนครศรีธรรมราช</v>
      </c>
      <c r="Q119" s="441"/>
      <c r="R119" s="441"/>
      <c r="S119" s="441"/>
      <c r="T119" s="441"/>
      <c r="U119" s="441"/>
      <c r="V119" s="441"/>
      <c r="W119" s="441"/>
      <c r="X119" s="441"/>
      <c r="Y119" s="441"/>
      <c r="Z119" s="91">
        <f>+Z118+Y117</f>
        <v>1183970.9300000002</v>
      </c>
    </row>
    <row r="120" spans="1:26" ht="21" customHeight="1">
      <c r="A120" s="440" t="s">
        <v>384</v>
      </c>
      <c r="B120" s="440"/>
      <c r="C120" s="440"/>
      <c r="D120" s="440"/>
      <c r="E120" s="440"/>
      <c r="F120" s="440"/>
      <c r="G120" s="440"/>
      <c r="H120" s="440"/>
      <c r="I120" s="440"/>
      <c r="J120" s="440"/>
      <c r="K120" s="440"/>
      <c r="L120" s="440"/>
      <c r="M120" s="440"/>
      <c r="N120" s="440"/>
      <c r="O120" s="320"/>
      <c r="P120" s="442" t="s">
        <v>384</v>
      </c>
      <c r="Q120" s="442"/>
      <c r="R120" s="442"/>
      <c r="S120" s="442"/>
      <c r="T120" s="442"/>
      <c r="U120" s="442"/>
      <c r="V120" s="442"/>
      <c r="W120" s="442"/>
      <c r="X120" s="442"/>
      <c r="Y120" s="442"/>
    </row>
    <row r="121" spans="1:26" ht="21" customHeight="1">
      <c r="A121" s="443" t="s">
        <v>411</v>
      </c>
      <c r="B121" s="443"/>
      <c r="C121" s="443"/>
      <c r="D121" s="443"/>
      <c r="E121" s="443"/>
      <c r="F121" s="443"/>
      <c r="G121" s="443"/>
      <c r="H121" s="443"/>
      <c r="I121" s="443"/>
      <c r="J121" s="443"/>
      <c r="K121" s="443"/>
      <c r="L121" s="443"/>
      <c r="M121" s="443"/>
      <c r="N121" s="443"/>
      <c r="O121" s="321"/>
      <c r="P121" s="444" t="s">
        <v>411</v>
      </c>
      <c r="Q121" s="444"/>
      <c r="R121" s="444"/>
      <c r="S121" s="444"/>
      <c r="T121" s="444"/>
      <c r="U121" s="444"/>
      <c r="V121" s="444"/>
      <c r="W121" s="444"/>
      <c r="X121" s="444"/>
      <c r="Y121" s="444"/>
    </row>
    <row r="122" spans="1:26" ht="21" customHeight="1">
      <c r="A122" s="435" t="s">
        <v>139</v>
      </c>
      <c r="B122" s="435"/>
      <c r="C122" s="434" t="s">
        <v>141</v>
      </c>
      <c r="D122" s="434"/>
      <c r="E122" s="437" t="s">
        <v>144</v>
      </c>
      <c r="F122" s="438"/>
      <c r="G122" s="434" t="s">
        <v>146</v>
      </c>
      <c r="H122" s="435"/>
      <c r="I122" s="437" t="s">
        <v>160</v>
      </c>
      <c r="J122" s="438"/>
      <c r="K122" s="319" t="s">
        <v>161</v>
      </c>
      <c r="L122" s="437" t="s">
        <v>162</v>
      </c>
      <c r="M122" s="439"/>
      <c r="N122" s="439"/>
      <c r="O122" s="438"/>
      <c r="P122" s="437" t="s">
        <v>163</v>
      </c>
      <c r="Q122" s="438"/>
      <c r="R122" s="437" t="s">
        <v>164</v>
      </c>
      <c r="S122" s="439"/>
      <c r="T122" s="438"/>
      <c r="U122" s="434" t="s">
        <v>165</v>
      </c>
      <c r="V122" s="435"/>
      <c r="W122" s="319" t="s">
        <v>212</v>
      </c>
      <c r="X122" s="319" t="s">
        <v>166</v>
      </c>
      <c r="Y122" s="436" t="s">
        <v>17</v>
      </c>
    </row>
    <row r="123" spans="1:26" ht="21" customHeight="1">
      <c r="A123" s="435" t="s">
        <v>140</v>
      </c>
      <c r="B123" s="435"/>
      <c r="C123" s="370" t="s">
        <v>142</v>
      </c>
      <c r="D123" s="319" t="s">
        <v>143</v>
      </c>
      <c r="E123" s="319" t="s">
        <v>145</v>
      </c>
      <c r="F123" s="319" t="s">
        <v>214</v>
      </c>
      <c r="G123" s="319" t="s">
        <v>147</v>
      </c>
      <c r="H123" s="319" t="s">
        <v>148</v>
      </c>
      <c r="I123" s="319" t="s">
        <v>149</v>
      </c>
      <c r="J123" s="319" t="s">
        <v>150</v>
      </c>
      <c r="K123" s="319" t="s">
        <v>151</v>
      </c>
      <c r="L123" s="319" t="s">
        <v>152</v>
      </c>
      <c r="M123" s="319" t="s">
        <v>153</v>
      </c>
      <c r="N123" s="319" t="s">
        <v>238</v>
      </c>
      <c r="O123" s="319" t="s">
        <v>331</v>
      </c>
      <c r="P123" s="318" t="s">
        <v>303</v>
      </c>
      <c r="Q123" s="318" t="s">
        <v>154</v>
      </c>
      <c r="R123" s="319" t="s">
        <v>155</v>
      </c>
      <c r="S123" s="319" t="s">
        <v>156</v>
      </c>
      <c r="T123" s="319" t="s">
        <v>216</v>
      </c>
      <c r="U123" s="319" t="s">
        <v>157</v>
      </c>
      <c r="V123" s="319" t="s">
        <v>158</v>
      </c>
      <c r="W123" s="319" t="s">
        <v>213</v>
      </c>
      <c r="X123" s="319" t="s">
        <v>159</v>
      </c>
      <c r="Y123" s="436"/>
    </row>
    <row r="124" spans="1:26" ht="21" customHeight="1">
      <c r="A124" s="432" t="s">
        <v>385</v>
      </c>
      <c r="B124" s="433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163"/>
      <c r="P124" s="163"/>
      <c r="Q124" s="163"/>
      <c r="R124" s="92"/>
      <c r="S124" s="92"/>
      <c r="T124" s="92"/>
      <c r="U124" s="92"/>
      <c r="V124" s="92"/>
      <c r="W124" s="92"/>
      <c r="X124" s="92"/>
      <c r="Y124" s="92"/>
    </row>
    <row r="125" spans="1:26" ht="21" customHeight="1">
      <c r="A125" s="314">
        <v>110100</v>
      </c>
      <c r="B125" s="311" t="s">
        <v>342</v>
      </c>
      <c r="C125" s="312"/>
      <c r="D125" s="312"/>
      <c r="E125" s="312"/>
      <c r="F125" s="312"/>
      <c r="G125" s="312"/>
      <c r="H125" s="312"/>
      <c r="I125" s="312"/>
      <c r="J125" s="312"/>
      <c r="K125" s="312"/>
      <c r="L125" s="312"/>
      <c r="M125" s="312"/>
      <c r="N125" s="312"/>
      <c r="O125" s="313"/>
      <c r="P125" s="313"/>
      <c r="Q125" s="313"/>
      <c r="R125" s="312"/>
      <c r="S125" s="312"/>
      <c r="T125" s="312"/>
      <c r="U125" s="312"/>
      <c r="V125" s="312"/>
      <c r="W125" s="312"/>
      <c r="X125" s="312"/>
      <c r="Y125" s="95">
        <f>SUM(C125:X125)</f>
        <v>0</v>
      </c>
    </row>
    <row r="126" spans="1:26" ht="21" customHeight="1">
      <c r="A126" s="314">
        <v>110200</v>
      </c>
      <c r="B126" s="311" t="s">
        <v>329</v>
      </c>
      <c r="C126" s="312"/>
      <c r="D126" s="312"/>
      <c r="E126" s="312"/>
      <c r="F126" s="312"/>
      <c r="G126" s="312"/>
      <c r="H126" s="312"/>
      <c r="I126" s="312"/>
      <c r="J126" s="312"/>
      <c r="K126" s="312"/>
      <c r="L126" s="312"/>
      <c r="M126" s="312"/>
      <c r="N126" s="312"/>
      <c r="O126" s="313"/>
      <c r="P126" s="313"/>
      <c r="Q126" s="313"/>
      <c r="R126" s="312"/>
      <c r="S126" s="312"/>
      <c r="T126" s="312"/>
      <c r="U126" s="312"/>
      <c r="V126" s="312"/>
      <c r="W126" s="312"/>
      <c r="X126" s="312"/>
      <c r="Y126" s="95">
        <f t="shared" ref="Y126" si="48">SUM(C126:X126)</f>
        <v>0</v>
      </c>
    </row>
    <row r="127" spans="1:26" ht="21" customHeight="1">
      <c r="A127" s="93">
        <v>110300</v>
      </c>
      <c r="B127" s="94" t="s">
        <v>167</v>
      </c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164"/>
      <c r="P127" s="164"/>
      <c r="Q127" s="164"/>
      <c r="R127" s="70"/>
      <c r="S127" s="70"/>
      <c r="T127" s="70"/>
      <c r="U127" s="70"/>
      <c r="V127" s="70"/>
      <c r="W127" s="70"/>
      <c r="X127" s="70">
        <f>12932+651</f>
        <v>13583</v>
      </c>
      <c r="Y127" s="95">
        <f>SUM(C127:X127)</f>
        <v>13583</v>
      </c>
    </row>
    <row r="128" spans="1:26" ht="21" customHeight="1">
      <c r="A128" s="93">
        <v>110700</v>
      </c>
      <c r="B128" s="94" t="s">
        <v>101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164"/>
      <c r="P128" s="164"/>
      <c r="Q128" s="164"/>
      <c r="R128" s="70"/>
      <c r="S128" s="70"/>
      <c r="T128" s="70"/>
      <c r="U128" s="70"/>
      <c r="V128" s="70"/>
      <c r="W128" s="70"/>
      <c r="X128" s="70"/>
      <c r="Y128" s="95">
        <f t="shared" ref="Y128:Y133" si="49">SUM(C128:X128)</f>
        <v>0</v>
      </c>
    </row>
    <row r="129" spans="1:25" ht="21" customHeight="1">
      <c r="A129" s="93">
        <v>110800</v>
      </c>
      <c r="B129" s="94" t="s">
        <v>105</v>
      </c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164"/>
      <c r="P129" s="164"/>
      <c r="Q129" s="164"/>
      <c r="R129" s="70"/>
      <c r="S129" s="70"/>
      <c r="T129" s="70"/>
      <c r="U129" s="70"/>
      <c r="V129" s="70"/>
      <c r="W129" s="70"/>
      <c r="X129" s="70"/>
      <c r="Y129" s="95">
        <f t="shared" si="49"/>
        <v>0</v>
      </c>
    </row>
    <row r="130" spans="1:25" ht="21" customHeight="1">
      <c r="A130" s="93">
        <v>110900</v>
      </c>
      <c r="B130" s="94" t="s">
        <v>106</v>
      </c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164"/>
      <c r="P130" s="164"/>
      <c r="Q130" s="164"/>
      <c r="R130" s="70"/>
      <c r="S130" s="70"/>
      <c r="T130" s="70"/>
      <c r="U130" s="70"/>
      <c r="V130" s="70"/>
      <c r="W130" s="70"/>
      <c r="X130" s="70">
        <v>7500</v>
      </c>
      <c r="Y130" s="95">
        <f t="shared" si="49"/>
        <v>7500</v>
      </c>
    </row>
    <row r="131" spans="1:25" ht="21" customHeight="1">
      <c r="A131" s="93">
        <v>111000</v>
      </c>
      <c r="B131" s="94" t="s">
        <v>107</v>
      </c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164"/>
      <c r="P131" s="164"/>
      <c r="Q131" s="164"/>
      <c r="R131" s="70"/>
      <c r="S131" s="70"/>
      <c r="T131" s="70"/>
      <c r="U131" s="70"/>
      <c r="V131" s="70"/>
      <c r="W131" s="70"/>
      <c r="X131" s="70"/>
      <c r="Y131" s="95">
        <f t="shared" si="49"/>
        <v>0</v>
      </c>
    </row>
    <row r="132" spans="1:25" ht="21" customHeight="1">
      <c r="A132" s="93">
        <v>111100</v>
      </c>
      <c r="B132" s="94" t="s">
        <v>330</v>
      </c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164"/>
      <c r="P132" s="164"/>
      <c r="Q132" s="164"/>
      <c r="R132" s="70"/>
      <c r="S132" s="70"/>
      <c r="T132" s="70"/>
      <c r="U132" s="70"/>
      <c r="V132" s="70"/>
      <c r="W132" s="70"/>
      <c r="X132" s="70"/>
      <c r="Y132" s="95">
        <f t="shared" si="49"/>
        <v>0</v>
      </c>
    </row>
    <row r="133" spans="1:25" ht="21" customHeight="1">
      <c r="A133" s="93">
        <v>111100</v>
      </c>
      <c r="B133" s="94" t="s">
        <v>297</v>
      </c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164"/>
      <c r="P133" s="164"/>
      <c r="Q133" s="164"/>
      <c r="R133" s="70"/>
      <c r="S133" s="70"/>
      <c r="T133" s="70"/>
      <c r="U133" s="70"/>
      <c r="V133" s="70"/>
      <c r="W133" s="70"/>
      <c r="X133" s="70"/>
      <c r="Y133" s="95">
        <f t="shared" si="49"/>
        <v>0</v>
      </c>
    </row>
    <row r="134" spans="1:25" ht="21" customHeight="1">
      <c r="A134" s="96">
        <v>120100</v>
      </c>
      <c r="B134" s="97" t="s">
        <v>168</v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165"/>
      <c r="P134" s="165"/>
      <c r="Q134" s="165"/>
      <c r="R134" s="76"/>
      <c r="S134" s="76"/>
      <c r="T134" s="76"/>
      <c r="U134" s="76"/>
      <c r="V134" s="76"/>
      <c r="W134" s="76"/>
      <c r="X134" s="76"/>
      <c r="Y134" s="98">
        <f>SUM(C134:X134)</f>
        <v>0</v>
      </c>
    </row>
    <row r="135" spans="1:25" ht="21" customHeight="1">
      <c r="A135" s="426" t="s">
        <v>174</v>
      </c>
      <c r="B135" s="427"/>
      <c r="C135" s="95">
        <f>SUM(C125:C134)</f>
        <v>0</v>
      </c>
      <c r="D135" s="95">
        <f t="shared" ref="D135:W135" si="50">SUM(D125:D134)</f>
        <v>0</v>
      </c>
      <c r="E135" s="95">
        <f t="shared" si="50"/>
        <v>0</v>
      </c>
      <c r="F135" s="95">
        <f t="shared" si="50"/>
        <v>0</v>
      </c>
      <c r="G135" s="95">
        <f t="shared" si="50"/>
        <v>0</v>
      </c>
      <c r="H135" s="95">
        <f t="shared" si="50"/>
        <v>0</v>
      </c>
      <c r="I135" s="95">
        <f t="shared" si="50"/>
        <v>0</v>
      </c>
      <c r="J135" s="95">
        <f t="shared" si="50"/>
        <v>0</v>
      </c>
      <c r="K135" s="95">
        <f t="shared" si="50"/>
        <v>0</v>
      </c>
      <c r="L135" s="95">
        <f t="shared" si="50"/>
        <v>0</v>
      </c>
      <c r="M135" s="95">
        <f t="shared" si="50"/>
        <v>0</v>
      </c>
      <c r="N135" s="95">
        <f t="shared" si="50"/>
        <v>0</v>
      </c>
      <c r="O135" s="95">
        <f t="shared" si="50"/>
        <v>0</v>
      </c>
      <c r="P135" s="95">
        <f t="shared" si="50"/>
        <v>0</v>
      </c>
      <c r="Q135" s="95">
        <f t="shared" si="50"/>
        <v>0</v>
      </c>
      <c r="R135" s="95">
        <f t="shared" si="50"/>
        <v>0</v>
      </c>
      <c r="S135" s="95">
        <f t="shared" si="50"/>
        <v>0</v>
      </c>
      <c r="T135" s="95">
        <f t="shared" si="50"/>
        <v>0</v>
      </c>
      <c r="U135" s="95">
        <f t="shared" si="50"/>
        <v>0</v>
      </c>
      <c r="V135" s="95">
        <f t="shared" si="50"/>
        <v>0</v>
      </c>
      <c r="W135" s="95">
        <f t="shared" si="50"/>
        <v>0</v>
      </c>
      <c r="X135" s="95">
        <f>SUM(X125:X134)</f>
        <v>21083</v>
      </c>
      <c r="Y135" s="95">
        <f>SUM(C135:X135)</f>
        <v>21083</v>
      </c>
    </row>
    <row r="136" spans="1:25" ht="21" customHeight="1">
      <c r="A136" s="428" t="s">
        <v>175</v>
      </c>
      <c r="B136" s="429"/>
      <c r="C136" s="99">
        <f>+C135+C17</f>
        <v>0</v>
      </c>
      <c r="D136" s="99">
        <f t="shared" ref="D136:W136" si="51">+D135+D17</f>
        <v>0</v>
      </c>
      <c r="E136" s="99">
        <f t="shared" si="51"/>
        <v>0</v>
      </c>
      <c r="F136" s="99">
        <f t="shared" si="51"/>
        <v>0</v>
      </c>
      <c r="G136" s="99">
        <f t="shared" si="51"/>
        <v>0</v>
      </c>
      <c r="H136" s="99">
        <f t="shared" si="51"/>
        <v>0</v>
      </c>
      <c r="I136" s="99">
        <f t="shared" si="51"/>
        <v>0</v>
      </c>
      <c r="J136" s="99">
        <f t="shared" si="51"/>
        <v>0</v>
      </c>
      <c r="K136" s="99">
        <f t="shared" si="51"/>
        <v>0</v>
      </c>
      <c r="L136" s="99">
        <f t="shared" si="51"/>
        <v>0</v>
      </c>
      <c r="M136" s="99">
        <f t="shared" si="51"/>
        <v>0</v>
      </c>
      <c r="N136" s="99">
        <f t="shared" si="51"/>
        <v>0</v>
      </c>
      <c r="O136" s="99">
        <f t="shared" si="51"/>
        <v>0</v>
      </c>
      <c r="P136" s="99">
        <f t="shared" si="51"/>
        <v>0</v>
      </c>
      <c r="Q136" s="99">
        <f t="shared" si="51"/>
        <v>0</v>
      </c>
      <c r="R136" s="99">
        <f t="shared" si="51"/>
        <v>0</v>
      </c>
      <c r="S136" s="99">
        <f t="shared" si="51"/>
        <v>0</v>
      </c>
      <c r="T136" s="99">
        <f t="shared" si="51"/>
        <v>0</v>
      </c>
      <c r="U136" s="99">
        <f t="shared" si="51"/>
        <v>0</v>
      </c>
      <c r="V136" s="99">
        <f t="shared" si="51"/>
        <v>0</v>
      </c>
      <c r="W136" s="99">
        <f t="shared" si="51"/>
        <v>0</v>
      </c>
      <c r="X136" s="99">
        <f>+X135+X17</f>
        <v>42933</v>
      </c>
      <c r="Y136" s="99">
        <f>+Y135+Y17</f>
        <v>42933</v>
      </c>
    </row>
    <row r="137" spans="1:25" ht="21" customHeight="1">
      <c r="A137" s="432" t="s">
        <v>386</v>
      </c>
      <c r="B137" s="433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67"/>
      <c r="P137" s="167"/>
      <c r="Q137" s="167"/>
      <c r="R137" s="100"/>
      <c r="S137" s="100"/>
      <c r="T137" s="100"/>
      <c r="U137" s="100"/>
      <c r="V137" s="100"/>
      <c r="W137" s="100"/>
      <c r="X137" s="100"/>
      <c r="Y137" s="101">
        <f t="shared" ref="Y137:Y142" si="52">SUM(C137:X137)</f>
        <v>0</v>
      </c>
    </row>
    <row r="138" spans="1:25" ht="21" customHeight="1">
      <c r="A138" s="93">
        <v>210100</v>
      </c>
      <c r="B138" s="68" t="s">
        <v>169</v>
      </c>
      <c r="C138" s="70">
        <v>57960</v>
      </c>
      <c r="D138" s="70">
        <v>0</v>
      </c>
      <c r="E138" s="70"/>
      <c r="F138" s="70"/>
      <c r="G138" s="70"/>
      <c r="H138" s="70"/>
      <c r="I138" s="70"/>
      <c r="J138" s="70"/>
      <c r="K138" s="70"/>
      <c r="L138" s="70">
        <v>0</v>
      </c>
      <c r="M138" s="70"/>
      <c r="N138" s="70"/>
      <c r="O138" s="164"/>
      <c r="P138" s="164"/>
      <c r="Q138" s="164"/>
      <c r="R138" s="70"/>
      <c r="S138" s="70"/>
      <c r="T138" s="70"/>
      <c r="U138" s="70"/>
      <c r="V138" s="70"/>
      <c r="W138" s="70"/>
      <c r="X138" s="70"/>
      <c r="Y138" s="95">
        <f t="shared" si="52"/>
        <v>57960</v>
      </c>
    </row>
    <row r="139" spans="1:25" ht="21" customHeight="1">
      <c r="A139" s="93">
        <v>210200</v>
      </c>
      <c r="B139" s="68" t="s">
        <v>173</v>
      </c>
      <c r="C139" s="70">
        <v>10000</v>
      </c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164"/>
      <c r="P139" s="164"/>
      <c r="Q139" s="164"/>
      <c r="R139" s="70"/>
      <c r="S139" s="70"/>
      <c r="T139" s="70"/>
      <c r="U139" s="70"/>
      <c r="V139" s="70"/>
      <c r="W139" s="70"/>
      <c r="X139" s="70"/>
      <c r="Y139" s="95">
        <f t="shared" si="52"/>
        <v>10000</v>
      </c>
    </row>
    <row r="140" spans="1:25" ht="21" customHeight="1">
      <c r="A140" s="93">
        <v>210300</v>
      </c>
      <c r="B140" s="68" t="s">
        <v>170</v>
      </c>
      <c r="C140" s="70">
        <v>10000</v>
      </c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164"/>
      <c r="P140" s="164"/>
      <c r="Q140" s="164"/>
      <c r="R140" s="70"/>
      <c r="S140" s="70"/>
      <c r="T140" s="70"/>
      <c r="U140" s="70"/>
      <c r="V140" s="70"/>
      <c r="W140" s="70"/>
      <c r="X140" s="70"/>
      <c r="Y140" s="95">
        <f t="shared" si="52"/>
        <v>10000</v>
      </c>
    </row>
    <row r="141" spans="1:25" ht="21" customHeight="1">
      <c r="A141" s="93">
        <v>210400</v>
      </c>
      <c r="B141" s="68" t="s">
        <v>171</v>
      </c>
      <c r="C141" s="70">
        <v>16560</v>
      </c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164"/>
      <c r="P141" s="164"/>
      <c r="Q141" s="164"/>
      <c r="R141" s="70"/>
      <c r="S141" s="70"/>
      <c r="T141" s="70"/>
      <c r="U141" s="70"/>
      <c r="V141" s="70"/>
      <c r="W141" s="70"/>
      <c r="X141" s="70"/>
      <c r="Y141" s="95">
        <f t="shared" si="52"/>
        <v>16560</v>
      </c>
    </row>
    <row r="142" spans="1:25" ht="21" customHeight="1">
      <c r="A142" s="96">
        <v>210600</v>
      </c>
      <c r="B142" s="69" t="s">
        <v>172</v>
      </c>
      <c r="C142" s="70">
        <v>124200</v>
      </c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165"/>
      <c r="P142" s="165"/>
      <c r="Q142" s="165"/>
      <c r="R142" s="76"/>
      <c r="S142" s="76"/>
      <c r="T142" s="76"/>
      <c r="U142" s="76"/>
      <c r="V142" s="76"/>
      <c r="W142" s="76"/>
      <c r="X142" s="76"/>
      <c r="Y142" s="98">
        <f t="shared" si="52"/>
        <v>124200</v>
      </c>
    </row>
    <row r="143" spans="1:25" ht="21" customHeight="1">
      <c r="A143" s="426" t="s">
        <v>174</v>
      </c>
      <c r="B143" s="427"/>
      <c r="C143" s="95">
        <f>SUM(C138:C142)</f>
        <v>218720</v>
      </c>
      <c r="D143" s="95">
        <f>SUM(D137:D142)</f>
        <v>0</v>
      </c>
      <c r="E143" s="95">
        <f>SUM(E137:E142)</f>
        <v>0</v>
      </c>
      <c r="F143" s="95">
        <f t="shared" ref="F143:L143" si="53">SUM(F137:F142)</f>
        <v>0</v>
      </c>
      <c r="G143" s="95">
        <f t="shared" si="53"/>
        <v>0</v>
      </c>
      <c r="H143" s="95">
        <f t="shared" si="53"/>
        <v>0</v>
      </c>
      <c r="I143" s="95">
        <f t="shared" si="53"/>
        <v>0</v>
      </c>
      <c r="J143" s="95">
        <f t="shared" si="53"/>
        <v>0</v>
      </c>
      <c r="K143" s="95">
        <f t="shared" si="53"/>
        <v>0</v>
      </c>
      <c r="L143" s="95">
        <f t="shared" si="53"/>
        <v>0</v>
      </c>
      <c r="M143" s="95">
        <f>SUM(M137:M142)</f>
        <v>0</v>
      </c>
      <c r="N143" s="95">
        <f>SUM(N137:N142)</f>
        <v>0</v>
      </c>
      <c r="O143" s="95">
        <f>SUM(O137:O142)</f>
        <v>0</v>
      </c>
      <c r="P143" s="95">
        <f t="shared" ref="P143:Q143" si="54">SUM(P137:P142)</f>
        <v>0</v>
      </c>
      <c r="Q143" s="95">
        <f t="shared" si="54"/>
        <v>0</v>
      </c>
      <c r="R143" s="95">
        <f>SUM(R137:R142)</f>
        <v>0</v>
      </c>
      <c r="S143" s="95">
        <f>SUM(S137:S142)</f>
        <v>0</v>
      </c>
      <c r="T143" s="95"/>
      <c r="U143" s="95">
        <f>SUM(U137:U142)</f>
        <v>0</v>
      </c>
      <c r="V143" s="95">
        <f>SUM(V137:V142)</f>
        <v>0</v>
      </c>
      <c r="W143" s="95">
        <f>SUM(W137:W142)</f>
        <v>0</v>
      </c>
      <c r="X143" s="95">
        <f>SUM(X137:X142)</f>
        <v>0</v>
      </c>
      <c r="Y143" s="95">
        <f>SUM(C143:X143)</f>
        <v>218720</v>
      </c>
    </row>
    <row r="144" spans="1:25" ht="21" customHeight="1">
      <c r="A144" s="428" t="s">
        <v>175</v>
      </c>
      <c r="B144" s="429"/>
      <c r="C144" s="95">
        <f>+C143+C26</f>
        <v>437440</v>
      </c>
      <c r="D144" s="95">
        <f t="shared" ref="D144:Y144" si="55">+D143+D26</f>
        <v>0</v>
      </c>
      <c r="E144" s="95">
        <f t="shared" si="55"/>
        <v>0</v>
      </c>
      <c r="F144" s="95">
        <f t="shared" si="55"/>
        <v>0</v>
      </c>
      <c r="G144" s="95">
        <f t="shared" si="55"/>
        <v>0</v>
      </c>
      <c r="H144" s="95">
        <f t="shared" si="55"/>
        <v>0</v>
      </c>
      <c r="I144" s="95">
        <f t="shared" si="55"/>
        <v>0</v>
      </c>
      <c r="J144" s="95">
        <f t="shared" si="55"/>
        <v>0</v>
      </c>
      <c r="K144" s="95">
        <f t="shared" si="55"/>
        <v>0</v>
      </c>
      <c r="L144" s="95">
        <f t="shared" si="55"/>
        <v>0</v>
      </c>
      <c r="M144" s="95">
        <f t="shared" si="55"/>
        <v>0</v>
      </c>
      <c r="N144" s="95">
        <f t="shared" si="55"/>
        <v>0</v>
      </c>
      <c r="O144" s="95">
        <f t="shared" si="55"/>
        <v>0</v>
      </c>
      <c r="P144" s="95">
        <f t="shared" si="55"/>
        <v>0</v>
      </c>
      <c r="Q144" s="95">
        <f t="shared" si="55"/>
        <v>0</v>
      </c>
      <c r="R144" s="95">
        <f t="shared" si="55"/>
        <v>0</v>
      </c>
      <c r="S144" s="95">
        <f t="shared" si="55"/>
        <v>0</v>
      </c>
      <c r="T144" s="95">
        <f t="shared" si="55"/>
        <v>0</v>
      </c>
      <c r="U144" s="95">
        <f t="shared" si="55"/>
        <v>0</v>
      </c>
      <c r="V144" s="95">
        <f t="shared" si="55"/>
        <v>0</v>
      </c>
      <c r="W144" s="95">
        <f t="shared" si="55"/>
        <v>0</v>
      </c>
      <c r="X144" s="95">
        <f t="shared" si="55"/>
        <v>0</v>
      </c>
      <c r="Y144" s="95">
        <f t="shared" si="55"/>
        <v>437440</v>
      </c>
    </row>
    <row r="145" spans="1:25" ht="21" customHeight="1">
      <c r="A145" s="432" t="s">
        <v>387</v>
      </c>
      <c r="B145" s="433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67"/>
      <c r="P145" s="167"/>
      <c r="Q145" s="167"/>
      <c r="R145" s="100"/>
      <c r="S145" s="100"/>
      <c r="T145" s="100"/>
      <c r="U145" s="100"/>
      <c r="V145" s="100"/>
      <c r="W145" s="100"/>
      <c r="X145" s="100"/>
      <c r="Y145" s="101">
        <f t="shared" ref="Y145" si="56">SUM(C145:X145)</f>
        <v>0</v>
      </c>
    </row>
    <row r="146" spans="1:25" ht="21" customHeight="1">
      <c r="A146" s="93">
        <v>220100</v>
      </c>
      <c r="B146" s="68" t="s">
        <v>176</v>
      </c>
      <c r="C146" s="70">
        <v>159930</v>
      </c>
      <c r="D146" s="70">
        <v>66540</v>
      </c>
      <c r="E146" s="70">
        <v>21880</v>
      </c>
      <c r="F146" s="70"/>
      <c r="G146" s="70">
        <v>23370</v>
      </c>
      <c r="H146" s="70"/>
      <c r="I146" s="70"/>
      <c r="J146" s="70"/>
      <c r="K146" s="70"/>
      <c r="L146" s="70">
        <v>50950</v>
      </c>
      <c r="M146" s="70"/>
      <c r="N146" s="237"/>
      <c r="O146" s="268"/>
      <c r="P146" s="164">
        <v>18950</v>
      </c>
      <c r="Q146" s="164"/>
      <c r="R146" s="70"/>
      <c r="S146" s="70"/>
      <c r="T146" s="70"/>
      <c r="U146" s="70"/>
      <c r="V146" s="70"/>
      <c r="W146" s="70"/>
      <c r="X146" s="70"/>
      <c r="Y146" s="95">
        <f>SUM(C146:X146)</f>
        <v>341620</v>
      </c>
    </row>
    <row r="147" spans="1:25" ht="21" customHeight="1">
      <c r="A147" s="93">
        <v>220200</v>
      </c>
      <c r="B147" s="68" t="s">
        <v>177</v>
      </c>
      <c r="C147" s="70">
        <v>5600</v>
      </c>
      <c r="D147" s="70">
        <v>550</v>
      </c>
      <c r="E147" s="70"/>
      <c r="F147" s="70"/>
      <c r="G147" s="70"/>
      <c r="H147" s="70"/>
      <c r="I147" s="70"/>
      <c r="J147" s="70"/>
      <c r="K147" s="70"/>
      <c r="L147" s="70"/>
      <c r="M147" s="70"/>
      <c r="N147" s="238"/>
      <c r="O147" s="94"/>
      <c r="P147" s="164"/>
      <c r="Q147" s="164"/>
      <c r="R147" s="70"/>
      <c r="S147" s="70"/>
      <c r="T147" s="70"/>
      <c r="U147" s="70"/>
      <c r="V147" s="70"/>
      <c r="W147" s="70"/>
      <c r="X147" s="70"/>
      <c r="Y147" s="95">
        <f t="shared" ref="Y147:Y150" si="57">SUM(C147:X147)</f>
        <v>6150</v>
      </c>
    </row>
    <row r="148" spans="1:25" ht="21" customHeight="1">
      <c r="A148" s="93">
        <v>220300</v>
      </c>
      <c r="B148" s="68" t="s">
        <v>178</v>
      </c>
      <c r="C148" s="70">
        <v>9100</v>
      </c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238"/>
      <c r="O148" s="94"/>
      <c r="P148" s="164"/>
      <c r="Q148" s="164"/>
      <c r="R148" s="70"/>
      <c r="S148" s="70"/>
      <c r="T148" s="70"/>
      <c r="U148" s="70"/>
      <c r="V148" s="70"/>
      <c r="W148" s="70"/>
      <c r="X148" s="70"/>
      <c r="Y148" s="95">
        <f t="shared" si="57"/>
        <v>9100</v>
      </c>
    </row>
    <row r="149" spans="1:25" ht="21" customHeight="1">
      <c r="A149" s="93">
        <v>220500</v>
      </c>
      <c r="B149" s="68" t="s">
        <v>3</v>
      </c>
      <c r="C149" s="70">
        <v>0</v>
      </c>
      <c r="D149" s="70">
        <v>32710</v>
      </c>
      <c r="E149" s="70"/>
      <c r="F149" s="70"/>
      <c r="G149" s="70"/>
      <c r="H149" s="70"/>
      <c r="I149" s="70"/>
      <c r="J149" s="70"/>
      <c r="K149" s="70"/>
      <c r="L149" s="70"/>
      <c r="M149" s="70"/>
      <c r="N149" s="238"/>
      <c r="O149" s="94"/>
      <c r="P149" s="164"/>
      <c r="Q149" s="164"/>
      <c r="R149" s="70"/>
      <c r="S149" s="70"/>
      <c r="T149" s="70"/>
      <c r="U149" s="70"/>
      <c r="V149" s="70"/>
      <c r="W149" s="70"/>
      <c r="X149" s="70"/>
      <c r="Y149" s="95">
        <f t="shared" si="57"/>
        <v>32710</v>
      </c>
    </row>
    <row r="150" spans="1:25" ht="21" customHeight="1">
      <c r="A150" s="93">
        <v>220600</v>
      </c>
      <c r="B150" s="68" t="s">
        <v>179</v>
      </c>
      <c r="C150" s="70">
        <v>0</v>
      </c>
      <c r="D150" s="70">
        <v>0</v>
      </c>
      <c r="E150" s="70"/>
      <c r="F150" s="70"/>
      <c r="G150" s="70"/>
      <c r="H150" s="70"/>
      <c r="I150" s="70"/>
      <c r="J150" s="70"/>
      <c r="K150" s="70"/>
      <c r="L150" s="70">
        <v>0</v>
      </c>
      <c r="M150" s="70"/>
      <c r="N150" s="239"/>
      <c r="O150" s="165"/>
      <c r="P150" s="164"/>
      <c r="Q150" s="164"/>
      <c r="R150" s="70"/>
      <c r="S150" s="70"/>
      <c r="T150" s="70"/>
      <c r="U150" s="70"/>
      <c r="V150" s="70"/>
      <c r="W150" s="70"/>
      <c r="X150" s="70"/>
      <c r="Y150" s="95">
        <f t="shared" si="57"/>
        <v>0</v>
      </c>
    </row>
    <row r="151" spans="1:25" ht="21" customHeight="1">
      <c r="A151" s="435" t="s">
        <v>139</v>
      </c>
      <c r="B151" s="435"/>
      <c r="C151" s="434" t="s">
        <v>141</v>
      </c>
      <c r="D151" s="434"/>
      <c r="E151" s="437" t="s">
        <v>144</v>
      </c>
      <c r="F151" s="438"/>
      <c r="G151" s="434" t="s">
        <v>146</v>
      </c>
      <c r="H151" s="435"/>
      <c r="I151" s="437" t="s">
        <v>160</v>
      </c>
      <c r="J151" s="438"/>
      <c r="K151" s="319" t="s">
        <v>161</v>
      </c>
      <c r="L151" s="437" t="s">
        <v>162</v>
      </c>
      <c r="M151" s="439"/>
      <c r="N151" s="439"/>
      <c r="O151" s="438"/>
      <c r="P151" s="437" t="s">
        <v>163</v>
      </c>
      <c r="Q151" s="438"/>
      <c r="R151" s="437" t="s">
        <v>164</v>
      </c>
      <c r="S151" s="439"/>
      <c r="T151" s="438"/>
      <c r="U151" s="434" t="s">
        <v>165</v>
      </c>
      <c r="V151" s="435"/>
      <c r="W151" s="319" t="s">
        <v>212</v>
      </c>
      <c r="X151" s="319" t="s">
        <v>166</v>
      </c>
      <c r="Y151" s="436" t="s">
        <v>17</v>
      </c>
    </row>
    <row r="152" spans="1:25" ht="21" customHeight="1">
      <c r="A152" s="435" t="s">
        <v>140</v>
      </c>
      <c r="B152" s="435"/>
      <c r="C152" s="370" t="s">
        <v>142</v>
      </c>
      <c r="D152" s="319" t="s">
        <v>143</v>
      </c>
      <c r="E152" s="319" t="s">
        <v>145</v>
      </c>
      <c r="F152" s="319" t="s">
        <v>214</v>
      </c>
      <c r="G152" s="319" t="s">
        <v>147</v>
      </c>
      <c r="H152" s="319" t="s">
        <v>148</v>
      </c>
      <c r="I152" s="319" t="s">
        <v>149</v>
      </c>
      <c r="J152" s="319" t="s">
        <v>150</v>
      </c>
      <c r="K152" s="319" t="s">
        <v>151</v>
      </c>
      <c r="L152" s="319" t="s">
        <v>152</v>
      </c>
      <c r="M152" s="319" t="s">
        <v>153</v>
      </c>
      <c r="N152" s="319" t="s">
        <v>238</v>
      </c>
      <c r="O152" s="319" t="s">
        <v>331</v>
      </c>
      <c r="P152" s="318" t="s">
        <v>303</v>
      </c>
      <c r="Q152" s="318" t="s">
        <v>154</v>
      </c>
      <c r="R152" s="319" t="s">
        <v>155</v>
      </c>
      <c r="S152" s="319" t="s">
        <v>156</v>
      </c>
      <c r="T152" s="319" t="s">
        <v>216</v>
      </c>
      <c r="U152" s="319" t="s">
        <v>157</v>
      </c>
      <c r="V152" s="319" t="s">
        <v>158</v>
      </c>
      <c r="W152" s="319" t="s">
        <v>213</v>
      </c>
      <c r="X152" s="319" t="s">
        <v>159</v>
      </c>
      <c r="Y152" s="436"/>
    </row>
    <row r="153" spans="1:25" ht="21" customHeight="1">
      <c r="A153" s="93">
        <v>220700</v>
      </c>
      <c r="B153" s="68" t="s">
        <v>180</v>
      </c>
      <c r="C153" s="70">
        <v>93180</v>
      </c>
      <c r="D153" s="70">
        <v>25550</v>
      </c>
      <c r="E153" s="70">
        <v>9400</v>
      </c>
      <c r="F153" s="70"/>
      <c r="G153" s="70">
        <v>29500</v>
      </c>
      <c r="H153" s="74"/>
      <c r="I153" s="70">
        <v>27210</v>
      </c>
      <c r="J153" s="70"/>
      <c r="K153" s="70"/>
      <c r="L153" s="70">
        <v>38770</v>
      </c>
      <c r="M153" s="70"/>
      <c r="N153" s="70"/>
      <c r="O153" s="164"/>
      <c r="P153" s="164">
        <v>26750</v>
      </c>
      <c r="Q153" s="164"/>
      <c r="R153" s="70"/>
      <c r="S153" s="70"/>
      <c r="T153" s="70"/>
      <c r="U153" s="70"/>
      <c r="V153" s="70"/>
      <c r="W153" s="70"/>
      <c r="X153" s="70"/>
      <c r="Y153" s="95">
        <f>SUM(C153:X153)</f>
        <v>250360</v>
      </c>
    </row>
    <row r="154" spans="1:25" ht="21" customHeight="1">
      <c r="A154" s="96">
        <v>220800</v>
      </c>
      <c r="B154" s="69" t="s">
        <v>181</v>
      </c>
      <c r="C154" s="70">
        <v>13000</v>
      </c>
      <c r="D154" s="76">
        <v>2000</v>
      </c>
      <c r="E154" s="76">
        <v>2000</v>
      </c>
      <c r="F154" s="76"/>
      <c r="G154" s="76">
        <v>1000</v>
      </c>
      <c r="H154" s="123"/>
      <c r="I154" s="76">
        <v>2000</v>
      </c>
      <c r="J154" s="76"/>
      <c r="K154" s="76"/>
      <c r="L154" s="70">
        <v>7000</v>
      </c>
      <c r="M154" s="76"/>
      <c r="N154" s="76"/>
      <c r="O154" s="165"/>
      <c r="P154" s="165">
        <v>2000</v>
      </c>
      <c r="Q154" s="165"/>
      <c r="R154" s="76"/>
      <c r="S154" s="76"/>
      <c r="T154" s="76"/>
      <c r="U154" s="76"/>
      <c r="V154" s="76"/>
      <c r="W154" s="76"/>
      <c r="X154" s="76"/>
      <c r="Y154" s="95">
        <f>SUM(C154:X154)</f>
        <v>29000</v>
      </c>
    </row>
    <row r="155" spans="1:25" ht="21" customHeight="1">
      <c r="A155" s="426" t="s">
        <v>174</v>
      </c>
      <c r="B155" s="427"/>
      <c r="C155" s="95">
        <f t="shared" ref="C155:J155" si="58">SUM(C145:C154)</f>
        <v>280810</v>
      </c>
      <c r="D155" s="95">
        <f t="shared" si="58"/>
        <v>127350</v>
      </c>
      <c r="E155" s="95">
        <f t="shared" si="58"/>
        <v>33280</v>
      </c>
      <c r="F155" s="95">
        <f t="shared" si="58"/>
        <v>0</v>
      </c>
      <c r="G155" s="95">
        <f t="shared" si="58"/>
        <v>53870</v>
      </c>
      <c r="H155" s="95">
        <f t="shared" si="58"/>
        <v>0</v>
      </c>
      <c r="I155" s="95">
        <f t="shared" si="58"/>
        <v>29210</v>
      </c>
      <c r="J155" s="95">
        <f t="shared" si="58"/>
        <v>0</v>
      </c>
      <c r="K155" s="95">
        <f t="shared" ref="K155:Y155" si="59">SUM(K145:K154)</f>
        <v>0</v>
      </c>
      <c r="L155" s="95">
        <f>SUM(L145:L154)</f>
        <v>96720</v>
      </c>
      <c r="M155" s="95">
        <f>SUM(M145:M154)</f>
        <v>0</v>
      </c>
      <c r="N155" s="95">
        <f t="shared" si="59"/>
        <v>0</v>
      </c>
      <c r="O155" s="95">
        <f t="shared" si="59"/>
        <v>0</v>
      </c>
      <c r="P155" s="95">
        <f>SUM(P145:P154)</f>
        <v>47700</v>
      </c>
      <c r="Q155" s="95">
        <f t="shared" si="59"/>
        <v>0</v>
      </c>
      <c r="R155" s="95">
        <f t="shared" si="59"/>
        <v>0</v>
      </c>
      <c r="S155" s="95">
        <f t="shared" si="59"/>
        <v>0</v>
      </c>
      <c r="T155" s="95">
        <f t="shared" si="59"/>
        <v>0</v>
      </c>
      <c r="U155" s="95">
        <f t="shared" si="59"/>
        <v>0</v>
      </c>
      <c r="V155" s="95">
        <f t="shared" si="59"/>
        <v>0</v>
      </c>
      <c r="W155" s="95">
        <f t="shared" si="59"/>
        <v>0</v>
      </c>
      <c r="X155" s="95">
        <f t="shared" si="59"/>
        <v>0</v>
      </c>
      <c r="Y155" s="95">
        <f t="shared" si="59"/>
        <v>668940</v>
      </c>
    </row>
    <row r="156" spans="1:25" ht="21" customHeight="1">
      <c r="A156" s="428" t="s">
        <v>175</v>
      </c>
      <c r="B156" s="429"/>
      <c r="C156" s="99">
        <f>+C155+C38</f>
        <v>574517</v>
      </c>
      <c r="D156" s="99">
        <f>+D155+D38</f>
        <v>269351.61</v>
      </c>
      <c r="E156" s="99">
        <f>+E155+E38</f>
        <v>66560</v>
      </c>
      <c r="F156" s="99">
        <f t="shared" ref="F156:Y156" si="60">+F155+F38</f>
        <v>0</v>
      </c>
      <c r="G156" s="99">
        <f>+G155+G38</f>
        <v>122340</v>
      </c>
      <c r="H156" s="99">
        <f t="shared" si="60"/>
        <v>0</v>
      </c>
      <c r="I156" s="99">
        <f>+I155+I38</f>
        <v>68620</v>
      </c>
      <c r="J156" s="99">
        <f t="shared" si="60"/>
        <v>0</v>
      </c>
      <c r="K156" s="99">
        <f t="shared" si="60"/>
        <v>0</v>
      </c>
      <c r="L156" s="99">
        <f>+L155+L38</f>
        <v>197540</v>
      </c>
      <c r="M156" s="99">
        <f t="shared" si="60"/>
        <v>0</v>
      </c>
      <c r="N156" s="99">
        <f t="shared" si="60"/>
        <v>0</v>
      </c>
      <c r="O156" s="99">
        <f t="shared" si="60"/>
        <v>0</v>
      </c>
      <c r="P156" s="99">
        <f>+P155+P38</f>
        <v>102671</v>
      </c>
      <c r="Q156" s="99">
        <f t="shared" si="60"/>
        <v>0</v>
      </c>
      <c r="R156" s="99">
        <f t="shared" si="60"/>
        <v>0</v>
      </c>
      <c r="S156" s="99">
        <f t="shared" si="60"/>
        <v>0</v>
      </c>
      <c r="T156" s="99">
        <f t="shared" si="60"/>
        <v>0</v>
      </c>
      <c r="U156" s="99">
        <f t="shared" si="60"/>
        <v>0</v>
      </c>
      <c r="V156" s="99">
        <f t="shared" si="60"/>
        <v>0</v>
      </c>
      <c r="W156" s="99">
        <f t="shared" si="60"/>
        <v>0</v>
      </c>
      <c r="X156" s="99">
        <f t="shared" si="60"/>
        <v>0</v>
      </c>
      <c r="Y156" s="99">
        <f t="shared" si="60"/>
        <v>1401599.6099999999</v>
      </c>
    </row>
    <row r="157" spans="1:25" ht="21" customHeight="1">
      <c r="A157" s="432" t="s">
        <v>388</v>
      </c>
      <c r="B157" s="433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67"/>
      <c r="P157" s="167"/>
      <c r="Q157" s="167"/>
      <c r="R157" s="100"/>
      <c r="S157" s="100"/>
      <c r="T157" s="100"/>
      <c r="U157" s="100"/>
      <c r="V157" s="100"/>
      <c r="W157" s="100"/>
      <c r="X157" s="100"/>
      <c r="Y157" s="101">
        <f t="shared" ref="Y157:Y162" si="61">SUM(C157:X157)</f>
        <v>0</v>
      </c>
    </row>
    <row r="158" spans="1:25" ht="21" customHeight="1">
      <c r="A158" s="93">
        <v>310100</v>
      </c>
      <c r="B158" s="68" t="s">
        <v>182</v>
      </c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164"/>
      <c r="P158" s="164"/>
      <c r="Q158" s="164"/>
      <c r="R158" s="70"/>
      <c r="S158" s="70"/>
      <c r="T158" s="70"/>
      <c r="U158" s="70"/>
      <c r="V158" s="70"/>
      <c r="W158" s="70"/>
      <c r="X158" s="70"/>
      <c r="Y158" s="95">
        <f t="shared" si="61"/>
        <v>0</v>
      </c>
    </row>
    <row r="159" spans="1:25" ht="21" customHeight="1">
      <c r="A159" s="93">
        <v>310200</v>
      </c>
      <c r="B159" s="68" t="s">
        <v>183</v>
      </c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164"/>
      <c r="P159" s="164"/>
      <c r="Q159" s="164"/>
      <c r="R159" s="70"/>
      <c r="S159" s="70"/>
      <c r="T159" s="70"/>
      <c r="U159" s="70"/>
      <c r="V159" s="70"/>
      <c r="W159" s="70"/>
      <c r="X159" s="70"/>
      <c r="Y159" s="95">
        <f t="shared" si="61"/>
        <v>0</v>
      </c>
    </row>
    <row r="160" spans="1:25" ht="21" customHeight="1">
      <c r="A160" s="93">
        <v>310300</v>
      </c>
      <c r="B160" s="68" t="s">
        <v>184</v>
      </c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164"/>
      <c r="P160" s="164"/>
      <c r="Q160" s="164"/>
      <c r="R160" s="70"/>
      <c r="S160" s="70"/>
      <c r="T160" s="70"/>
      <c r="U160" s="70"/>
      <c r="V160" s="70"/>
      <c r="W160" s="70"/>
      <c r="X160" s="70"/>
      <c r="Y160" s="95">
        <f t="shared" si="61"/>
        <v>0</v>
      </c>
    </row>
    <row r="161" spans="1:25" ht="21" customHeight="1">
      <c r="A161" s="93">
        <v>310400</v>
      </c>
      <c r="B161" s="68" t="s">
        <v>185</v>
      </c>
      <c r="C161" s="70">
        <v>11800</v>
      </c>
      <c r="D161" s="70">
        <v>4600</v>
      </c>
      <c r="E161" s="70">
        <v>2500</v>
      </c>
      <c r="F161" s="70"/>
      <c r="G161" s="70">
        <v>3000</v>
      </c>
      <c r="H161" s="70"/>
      <c r="I161" s="70"/>
      <c r="J161" s="70"/>
      <c r="K161" s="70"/>
      <c r="L161" s="70">
        <v>4800</v>
      </c>
      <c r="M161" s="70"/>
      <c r="N161" s="70"/>
      <c r="O161" s="164"/>
      <c r="P161" s="164">
        <v>2300</v>
      </c>
      <c r="Q161" s="164"/>
      <c r="R161" s="70"/>
      <c r="S161" s="70"/>
      <c r="T161" s="70"/>
      <c r="U161" s="70"/>
      <c r="V161" s="70"/>
      <c r="W161" s="70"/>
      <c r="X161" s="70"/>
      <c r="Y161" s="95">
        <f t="shared" si="61"/>
        <v>29000</v>
      </c>
    </row>
    <row r="162" spans="1:25" ht="21" customHeight="1">
      <c r="A162" s="93">
        <v>310500</v>
      </c>
      <c r="B162" s="68" t="s">
        <v>186</v>
      </c>
      <c r="C162" s="70">
        <v>1503.25</v>
      </c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164"/>
      <c r="P162" s="164"/>
      <c r="Q162" s="164"/>
      <c r="R162" s="70"/>
      <c r="S162" s="70"/>
      <c r="T162" s="70"/>
      <c r="U162" s="70"/>
      <c r="V162" s="70"/>
      <c r="W162" s="70"/>
      <c r="X162" s="70"/>
      <c r="Y162" s="95">
        <f t="shared" si="61"/>
        <v>1503.25</v>
      </c>
    </row>
    <row r="163" spans="1:25" ht="21" customHeight="1">
      <c r="A163" s="96">
        <v>310600</v>
      </c>
      <c r="B163" s="69" t="s">
        <v>187</v>
      </c>
      <c r="C163" s="70"/>
      <c r="D163" s="70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165"/>
      <c r="P163" s="165"/>
      <c r="Q163" s="165"/>
      <c r="R163" s="76"/>
      <c r="S163" s="76"/>
      <c r="T163" s="76"/>
      <c r="U163" s="76"/>
      <c r="V163" s="76"/>
      <c r="W163" s="76"/>
      <c r="X163" s="76"/>
      <c r="Y163" s="98">
        <f>SUM(C163:X163)</f>
        <v>0</v>
      </c>
    </row>
    <row r="164" spans="1:25" ht="21" customHeight="1">
      <c r="A164" s="426" t="s">
        <v>174</v>
      </c>
      <c r="B164" s="427"/>
      <c r="C164" s="95">
        <f t="shared" ref="C164:J164" si="62">SUM(C158:C163)</f>
        <v>13303.25</v>
      </c>
      <c r="D164" s="95">
        <f t="shared" si="62"/>
        <v>4600</v>
      </c>
      <c r="E164" s="95">
        <f t="shared" si="62"/>
        <v>2500</v>
      </c>
      <c r="F164" s="95">
        <f t="shared" si="62"/>
        <v>0</v>
      </c>
      <c r="G164" s="95">
        <f t="shared" si="62"/>
        <v>3000</v>
      </c>
      <c r="H164" s="95">
        <f t="shared" si="62"/>
        <v>0</v>
      </c>
      <c r="I164" s="95">
        <f t="shared" si="62"/>
        <v>0</v>
      </c>
      <c r="J164" s="95">
        <f t="shared" si="62"/>
        <v>0</v>
      </c>
      <c r="K164" s="95">
        <f t="shared" ref="K164:V164" si="63">SUM(K158:K163)</f>
        <v>0</v>
      </c>
      <c r="L164" s="95">
        <f>SUM(L158:L163)</f>
        <v>4800</v>
      </c>
      <c r="M164" s="95">
        <f>SUM(M158:M163)</f>
        <v>0</v>
      </c>
      <c r="N164" s="95">
        <f>SUM(N158:N163)</f>
        <v>0</v>
      </c>
      <c r="O164" s="95">
        <f t="shared" si="63"/>
        <v>0</v>
      </c>
      <c r="P164" s="95">
        <f t="shared" si="63"/>
        <v>2300</v>
      </c>
      <c r="Q164" s="95">
        <f t="shared" si="63"/>
        <v>0</v>
      </c>
      <c r="R164" s="95">
        <f t="shared" si="63"/>
        <v>0</v>
      </c>
      <c r="S164" s="95">
        <f t="shared" si="63"/>
        <v>0</v>
      </c>
      <c r="T164" s="95">
        <f t="shared" si="63"/>
        <v>0</v>
      </c>
      <c r="U164" s="95">
        <f t="shared" si="63"/>
        <v>0</v>
      </c>
      <c r="V164" s="95">
        <f t="shared" si="63"/>
        <v>0</v>
      </c>
      <c r="W164" s="95">
        <f>SUM(W158:W163)</f>
        <v>0</v>
      </c>
      <c r="X164" s="95">
        <f>SUM(X158:X163)</f>
        <v>0</v>
      </c>
      <c r="Y164" s="95">
        <f>SUM(C164:X164)</f>
        <v>30503.25</v>
      </c>
    </row>
    <row r="165" spans="1:25" ht="21" customHeight="1">
      <c r="A165" s="428" t="s">
        <v>175</v>
      </c>
      <c r="B165" s="429"/>
      <c r="C165" s="99">
        <f>+C164+C47</f>
        <v>23053.25</v>
      </c>
      <c r="D165" s="99">
        <f t="shared" ref="D165:W165" si="64">+D164+D47</f>
        <v>4600</v>
      </c>
      <c r="E165" s="99">
        <f t="shared" si="64"/>
        <v>2500</v>
      </c>
      <c r="F165" s="99">
        <f t="shared" si="64"/>
        <v>0</v>
      </c>
      <c r="G165" s="99">
        <f t="shared" si="64"/>
        <v>3000</v>
      </c>
      <c r="H165" s="99">
        <f t="shared" si="64"/>
        <v>0</v>
      </c>
      <c r="I165" s="99">
        <f t="shared" si="64"/>
        <v>0</v>
      </c>
      <c r="J165" s="99">
        <f t="shared" si="64"/>
        <v>0</v>
      </c>
      <c r="K165" s="99">
        <f t="shared" si="64"/>
        <v>0</v>
      </c>
      <c r="L165" s="99">
        <f t="shared" si="64"/>
        <v>8100</v>
      </c>
      <c r="M165" s="99">
        <f t="shared" si="64"/>
        <v>0</v>
      </c>
      <c r="N165" s="99">
        <f t="shared" si="64"/>
        <v>0</v>
      </c>
      <c r="O165" s="99">
        <f t="shared" si="64"/>
        <v>0</v>
      </c>
      <c r="P165" s="99">
        <f t="shared" si="64"/>
        <v>2300</v>
      </c>
      <c r="Q165" s="99">
        <f t="shared" si="64"/>
        <v>0</v>
      </c>
      <c r="R165" s="99">
        <f t="shared" si="64"/>
        <v>0</v>
      </c>
      <c r="S165" s="99">
        <f t="shared" si="64"/>
        <v>0</v>
      </c>
      <c r="T165" s="99">
        <f t="shared" si="64"/>
        <v>0</v>
      </c>
      <c r="U165" s="99">
        <f t="shared" si="64"/>
        <v>0</v>
      </c>
      <c r="V165" s="99">
        <f t="shared" si="64"/>
        <v>0</v>
      </c>
      <c r="W165" s="99">
        <f t="shared" si="64"/>
        <v>0</v>
      </c>
      <c r="X165" s="99">
        <f>+X164+X47</f>
        <v>0</v>
      </c>
      <c r="Y165" s="99">
        <f>+Y164+Y47</f>
        <v>43553.25</v>
      </c>
    </row>
    <row r="166" spans="1:25" ht="21" customHeight="1">
      <c r="A166" s="432" t="s">
        <v>389</v>
      </c>
      <c r="B166" s="433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67"/>
      <c r="P166" s="167"/>
      <c r="Q166" s="167"/>
      <c r="R166" s="100"/>
      <c r="S166" s="100"/>
      <c r="T166" s="100"/>
      <c r="U166" s="100"/>
      <c r="V166" s="100"/>
      <c r="W166" s="100"/>
      <c r="X166" s="100"/>
      <c r="Y166" s="101">
        <f t="shared" ref="Y166" si="65">SUM(C166:X166)</f>
        <v>0</v>
      </c>
    </row>
    <row r="167" spans="1:25" ht="21" customHeight="1">
      <c r="A167" s="93">
        <v>320100</v>
      </c>
      <c r="B167" s="68" t="s">
        <v>188</v>
      </c>
      <c r="C167" s="70">
        <f>7000+7000+7000+60000+4900+4900</f>
        <v>90800</v>
      </c>
      <c r="D167" s="70"/>
      <c r="E167" s="70"/>
      <c r="F167" s="70"/>
      <c r="G167" s="70">
        <f>6300+7000+4500+7000+3600</f>
        <v>28400</v>
      </c>
      <c r="H167" s="70"/>
      <c r="I167" s="70"/>
      <c r="J167" s="70">
        <v>7000</v>
      </c>
      <c r="K167" s="70"/>
      <c r="L167" s="70">
        <v>510</v>
      </c>
      <c r="M167" s="70"/>
      <c r="N167" s="70">
        <f>7000+7000+7000+7000+13867.5</f>
        <v>41867.5</v>
      </c>
      <c r="O167" s="164"/>
      <c r="P167" s="164">
        <v>4030</v>
      </c>
      <c r="Q167" s="164"/>
      <c r="R167" s="70"/>
      <c r="S167" s="70"/>
      <c r="T167" s="70"/>
      <c r="U167" s="70"/>
      <c r="V167" s="70"/>
      <c r="W167" s="70">
        <v>8000</v>
      </c>
      <c r="X167" s="70"/>
      <c r="Y167" s="95">
        <f>SUM(C167:X167)</f>
        <v>180607.5</v>
      </c>
    </row>
    <row r="168" spans="1:25" ht="21" customHeight="1">
      <c r="A168" s="93">
        <v>320200</v>
      </c>
      <c r="B168" s="68" t="s">
        <v>189</v>
      </c>
      <c r="C168" s="70">
        <f>3200+2000</f>
        <v>5200</v>
      </c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164"/>
      <c r="P168" s="164"/>
      <c r="Q168" s="164"/>
      <c r="R168" s="70"/>
      <c r="S168" s="70"/>
      <c r="T168" s="70"/>
      <c r="U168" s="70"/>
      <c r="V168" s="70"/>
      <c r="W168" s="70"/>
      <c r="X168" s="70"/>
      <c r="Y168" s="95">
        <f>SUM(C168:X168)</f>
        <v>5200</v>
      </c>
    </row>
    <row r="169" spans="1:25" ht="21" customHeight="1">
      <c r="A169" s="93">
        <v>320300</v>
      </c>
      <c r="B169" s="68" t="s">
        <v>190</v>
      </c>
      <c r="C169" s="70"/>
      <c r="D169" s="70"/>
      <c r="E169" s="70">
        <v>700</v>
      </c>
      <c r="F169" s="70"/>
      <c r="G169" s="70">
        <v>5298</v>
      </c>
      <c r="H169" s="70">
        <f>99600+110400</f>
        <v>210000</v>
      </c>
      <c r="I169" s="70"/>
      <c r="J169" s="70"/>
      <c r="K169" s="70"/>
      <c r="L169" s="70"/>
      <c r="M169" s="70"/>
      <c r="N169" s="70"/>
      <c r="O169" s="164"/>
      <c r="P169" s="164"/>
      <c r="Q169" s="164"/>
      <c r="R169" s="70"/>
      <c r="S169" s="70">
        <f>1000+7000</f>
        <v>8000</v>
      </c>
      <c r="T169" s="70"/>
      <c r="U169" s="70"/>
      <c r="V169" s="70"/>
      <c r="W169" s="70"/>
      <c r="X169" s="70"/>
      <c r="Y169" s="95">
        <f>SUM(C169:X169)</f>
        <v>223998</v>
      </c>
    </row>
    <row r="170" spans="1:25" ht="21" customHeight="1">
      <c r="A170" s="96">
        <v>320400</v>
      </c>
      <c r="B170" s="69" t="s">
        <v>191</v>
      </c>
      <c r="C170" s="76">
        <f>10150+5500+1880</f>
        <v>17530</v>
      </c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>
        <v>2230</v>
      </c>
      <c r="O170" s="165"/>
      <c r="P170" s="165"/>
      <c r="Q170" s="165"/>
      <c r="R170" s="76"/>
      <c r="S170" s="76"/>
      <c r="T170" s="76"/>
      <c r="U170" s="76"/>
      <c r="V170" s="76"/>
      <c r="W170" s="76"/>
      <c r="X170" s="76"/>
      <c r="Y170" s="95">
        <f>SUM(C170:X170)</f>
        <v>19760</v>
      </c>
    </row>
    <row r="171" spans="1:25" ht="21" customHeight="1">
      <c r="A171" s="426" t="s">
        <v>174</v>
      </c>
      <c r="B171" s="427"/>
      <c r="C171" s="95">
        <f>SUM(C167:C170)</f>
        <v>113530</v>
      </c>
      <c r="D171" s="95">
        <f t="shared" ref="D171:V171" si="66">SUM(D167:D170)</f>
        <v>0</v>
      </c>
      <c r="E171" s="95">
        <f t="shared" si="66"/>
        <v>700</v>
      </c>
      <c r="F171" s="95">
        <f t="shared" si="66"/>
        <v>0</v>
      </c>
      <c r="G171" s="95">
        <f t="shared" si="66"/>
        <v>33698</v>
      </c>
      <c r="H171" s="95">
        <f t="shared" si="66"/>
        <v>210000</v>
      </c>
      <c r="I171" s="95">
        <f t="shared" si="66"/>
        <v>0</v>
      </c>
      <c r="J171" s="95">
        <f t="shared" si="66"/>
        <v>7000</v>
      </c>
      <c r="K171" s="95">
        <f t="shared" si="66"/>
        <v>0</v>
      </c>
      <c r="L171" s="95">
        <f t="shared" si="66"/>
        <v>510</v>
      </c>
      <c r="M171" s="95">
        <f t="shared" si="66"/>
        <v>0</v>
      </c>
      <c r="N171" s="95">
        <f t="shared" si="66"/>
        <v>44097.5</v>
      </c>
      <c r="O171" s="95">
        <f t="shared" si="66"/>
        <v>0</v>
      </c>
      <c r="P171" s="95">
        <f t="shared" si="66"/>
        <v>4030</v>
      </c>
      <c r="Q171" s="95">
        <f t="shared" si="66"/>
        <v>0</v>
      </c>
      <c r="R171" s="95">
        <f t="shared" si="66"/>
        <v>0</v>
      </c>
      <c r="S171" s="95">
        <f t="shared" si="66"/>
        <v>8000</v>
      </c>
      <c r="T171" s="95">
        <f t="shared" si="66"/>
        <v>0</v>
      </c>
      <c r="U171" s="95">
        <f t="shared" si="66"/>
        <v>0</v>
      </c>
      <c r="V171" s="95">
        <f t="shared" si="66"/>
        <v>0</v>
      </c>
      <c r="W171" s="95">
        <f>SUM(W167:W170)</f>
        <v>8000</v>
      </c>
      <c r="X171" s="95">
        <f t="shared" ref="X171" si="67">SUM(X167:X170)</f>
        <v>0</v>
      </c>
      <c r="Y171" s="95">
        <f>SUM(Y167:Y170)</f>
        <v>429565.5</v>
      </c>
    </row>
    <row r="172" spans="1:25" ht="21" customHeight="1">
      <c r="A172" s="428" t="s">
        <v>175</v>
      </c>
      <c r="B172" s="429"/>
      <c r="C172" s="99">
        <f>+C171+C54</f>
        <v>155076.64000000001</v>
      </c>
      <c r="D172" s="99">
        <f t="shared" ref="D172:Y172" si="68">+D171+D54</f>
        <v>0</v>
      </c>
      <c r="E172" s="99">
        <f t="shared" si="68"/>
        <v>700</v>
      </c>
      <c r="F172" s="99">
        <f t="shared" si="68"/>
        <v>0</v>
      </c>
      <c r="G172" s="99">
        <f t="shared" si="68"/>
        <v>33698</v>
      </c>
      <c r="H172" s="99">
        <f t="shared" si="68"/>
        <v>210000</v>
      </c>
      <c r="I172" s="99">
        <f t="shared" si="68"/>
        <v>0</v>
      </c>
      <c r="J172" s="99">
        <f t="shared" si="68"/>
        <v>7000</v>
      </c>
      <c r="K172" s="99">
        <f t="shared" si="68"/>
        <v>0</v>
      </c>
      <c r="L172" s="99">
        <f t="shared" si="68"/>
        <v>16289</v>
      </c>
      <c r="M172" s="99">
        <f t="shared" si="68"/>
        <v>0</v>
      </c>
      <c r="N172" s="99">
        <f t="shared" si="68"/>
        <v>64213.75</v>
      </c>
      <c r="O172" s="99">
        <f t="shared" si="68"/>
        <v>0</v>
      </c>
      <c r="P172" s="99">
        <f t="shared" si="68"/>
        <v>4030</v>
      </c>
      <c r="Q172" s="99">
        <f t="shared" si="68"/>
        <v>0</v>
      </c>
      <c r="R172" s="99">
        <f t="shared" si="68"/>
        <v>12200</v>
      </c>
      <c r="S172" s="99">
        <f t="shared" si="68"/>
        <v>8000</v>
      </c>
      <c r="T172" s="99">
        <f t="shared" si="68"/>
        <v>0</v>
      </c>
      <c r="U172" s="99">
        <f t="shared" si="68"/>
        <v>0</v>
      </c>
      <c r="V172" s="99">
        <f t="shared" si="68"/>
        <v>0</v>
      </c>
      <c r="W172" s="99">
        <f t="shared" si="68"/>
        <v>8000</v>
      </c>
      <c r="X172" s="99">
        <f t="shared" si="68"/>
        <v>0</v>
      </c>
      <c r="Y172" s="99">
        <f t="shared" si="68"/>
        <v>519207.39</v>
      </c>
    </row>
    <row r="173" spans="1:25" ht="21" customHeight="1">
      <c r="A173" s="432" t="s">
        <v>390</v>
      </c>
      <c r="B173" s="433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67"/>
      <c r="P173" s="167"/>
      <c r="Q173" s="167"/>
      <c r="R173" s="100"/>
      <c r="S173" s="100"/>
      <c r="T173" s="100"/>
      <c r="U173" s="100"/>
      <c r="V173" s="100"/>
      <c r="W173" s="100"/>
      <c r="X173" s="100"/>
      <c r="Y173" s="101">
        <f>SUM(C173:X173)</f>
        <v>0</v>
      </c>
    </row>
    <row r="174" spans="1:25" ht="21" customHeight="1">
      <c r="A174" s="93">
        <v>330100</v>
      </c>
      <c r="B174" s="68" t="s">
        <v>192</v>
      </c>
      <c r="C174" s="70">
        <v>4514</v>
      </c>
      <c r="D174" s="70">
        <v>4935</v>
      </c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164"/>
      <c r="P174" s="164"/>
      <c r="Q174" s="164"/>
      <c r="R174" s="70"/>
      <c r="S174" s="70"/>
      <c r="T174" s="70"/>
      <c r="U174" s="70"/>
      <c r="V174" s="70"/>
      <c r="W174" s="70"/>
      <c r="X174" s="70"/>
      <c r="Y174" s="95">
        <f>SUM(C174:X174)</f>
        <v>9449</v>
      </c>
    </row>
    <row r="175" spans="1:25" ht="21" customHeight="1">
      <c r="A175" s="93">
        <v>330200</v>
      </c>
      <c r="B175" s="68" t="s">
        <v>193</v>
      </c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164"/>
      <c r="P175" s="164"/>
      <c r="Q175" s="164"/>
      <c r="R175" s="70"/>
      <c r="S175" s="70"/>
      <c r="T175" s="70"/>
      <c r="U175" s="70"/>
      <c r="V175" s="70"/>
      <c r="W175" s="70"/>
      <c r="X175" s="70"/>
      <c r="Y175" s="95">
        <f t="shared" ref="Y175:Y179" si="69">SUM(C175:X175)</f>
        <v>0</v>
      </c>
    </row>
    <row r="176" spans="1:25" ht="21" customHeight="1">
      <c r="A176" s="93">
        <v>330300</v>
      </c>
      <c r="B176" s="68" t="s">
        <v>235</v>
      </c>
      <c r="C176" s="70">
        <v>1230</v>
      </c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164"/>
      <c r="P176" s="164"/>
      <c r="Q176" s="164"/>
      <c r="R176" s="70"/>
      <c r="S176" s="70"/>
      <c r="T176" s="70"/>
      <c r="U176" s="70"/>
      <c r="V176" s="70"/>
      <c r="W176" s="70"/>
      <c r="X176" s="70"/>
      <c r="Y176" s="95">
        <f t="shared" si="69"/>
        <v>1230</v>
      </c>
    </row>
    <row r="177" spans="1:25" ht="21" customHeight="1">
      <c r="A177" s="93">
        <v>330400</v>
      </c>
      <c r="B177" s="68" t="s">
        <v>210</v>
      </c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164"/>
      <c r="P177" s="164"/>
      <c r="Q177" s="164"/>
      <c r="R177" s="70"/>
      <c r="S177" s="70"/>
      <c r="T177" s="70"/>
      <c r="U177" s="70"/>
      <c r="V177" s="70"/>
      <c r="W177" s="70"/>
      <c r="X177" s="70"/>
      <c r="Y177" s="95">
        <f t="shared" si="69"/>
        <v>0</v>
      </c>
    </row>
    <row r="178" spans="1:25" ht="21" customHeight="1">
      <c r="A178" s="93">
        <v>330600</v>
      </c>
      <c r="B178" s="68" t="s">
        <v>194</v>
      </c>
      <c r="C178" s="70">
        <v>15324</v>
      </c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164"/>
      <c r="P178" s="164"/>
      <c r="Q178" s="164"/>
      <c r="R178" s="70"/>
      <c r="S178" s="70"/>
      <c r="T178" s="70"/>
      <c r="U178" s="70"/>
      <c r="V178" s="70"/>
      <c r="W178" s="70">
        <v>10361</v>
      </c>
      <c r="X178" s="70"/>
      <c r="Y178" s="95">
        <f t="shared" si="69"/>
        <v>25685</v>
      </c>
    </row>
    <row r="179" spans="1:25" ht="21" customHeight="1">
      <c r="A179" s="93">
        <v>330700</v>
      </c>
      <c r="B179" s="68" t="s">
        <v>310</v>
      </c>
      <c r="C179" s="70">
        <v>9750</v>
      </c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164"/>
      <c r="P179" s="164"/>
      <c r="Q179" s="164"/>
      <c r="R179" s="70"/>
      <c r="S179" s="70"/>
      <c r="T179" s="70"/>
      <c r="U179" s="70"/>
      <c r="V179" s="70"/>
      <c r="W179" s="70"/>
      <c r="X179" s="70"/>
      <c r="Y179" s="95">
        <f t="shared" si="69"/>
        <v>9750</v>
      </c>
    </row>
    <row r="180" spans="1:25" ht="21" customHeight="1">
      <c r="A180" s="93">
        <v>330800</v>
      </c>
      <c r="B180" s="68" t="s">
        <v>195</v>
      </c>
      <c r="C180" s="70">
        <v>19814.98</v>
      </c>
      <c r="D180" s="70">
        <v>157.36000000000001</v>
      </c>
      <c r="E180" s="70"/>
      <c r="F180" s="70"/>
      <c r="G180" s="70"/>
      <c r="H180" s="70"/>
      <c r="I180" s="70"/>
      <c r="J180" s="70">
        <v>7390</v>
      </c>
      <c r="K180" s="70"/>
      <c r="L180" s="70">
        <v>215.04</v>
      </c>
      <c r="M180" s="70">
        <v>19041.3</v>
      </c>
      <c r="N180" s="70">
        <v>30144.41</v>
      </c>
      <c r="O180" s="164"/>
      <c r="P180" s="164"/>
      <c r="Q180" s="164"/>
      <c r="R180" s="70"/>
      <c r="S180" s="70"/>
      <c r="T180" s="70"/>
      <c r="U180" s="70"/>
      <c r="V180" s="70"/>
      <c r="W180" s="70"/>
      <c r="X180" s="70"/>
      <c r="Y180" s="95">
        <f>SUM(C180:X180)</f>
        <v>76763.09</v>
      </c>
    </row>
    <row r="181" spans="1:25" ht="21" customHeight="1">
      <c r="A181" s="93">
        <v>330900</v>
      </c>
      <c r="B181" s="68" t="s">
        <v>197</v>
      </c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164"/>
      <c r="P181" s="164"/>
      <c r="Q181" s="164"/>
      <c r="R181" s="70"/>
      <c r="S181" s="70"/>
      <c r="T181" s="70"/>
      <c r="U181" s="70"/>
      <c r="V181" s="70"/>
      <c r="W181" s="70"/>
      <c r="X181" s="70"/>
      <c r="Y181" s="95">
        <f t="shared" ref="Y181" si="70">SUM(C181:X181)</f>
        <v>0</v>
      </c>
    </row>
    <row r="182" spans="1:25" ht="21" customHeight="1">
      <c r="A182" s="435" t="s">
        <v>139</v>
      </c>
      <c r="B182" s="435"/>
      <c r="C182" s="434" t="s">
        <v>141</v>
      </c>
      <c r="D182" s="434"/>
      <c r="E182" s="437" t="s">
        <v>144</v>
      </c>
      <c r="F182" s="438"/>
      <c r="G182" s="434" t="s">
        <v>146</v>
      </c>
      <c r="H182" s="435"/>
      <c r="I182" s="437" t="s">
        <v>160</v>
      </c>
      <c r="J182" s="438"/>
      <c r="K182" s="319" t="s">
        <v>161</v>
      </c>
      <c r="L182" s="437" t="s">
        <v>162</v>
      </c>
      <c r="M182" s="439"/>
      <c r="N182" s="439"/>
      <c r="O182" s="438"/>
      <c r="P182" s="437" t="s">
        <v>163</v>
      </c>
      <c r="Q182" s="438"/>
      <c r="R182" s="437" t="s">
        <v>164</v>
      </c>
      <c r="S182" s="439"/>
      <c r="T182" s="438"/>
      <c r="U182" s="434" t="s">
        <v>165</v>
      </c>
      <c r="V182" s="435"/>
      <c r="W182" s="319" t="s">
        <v>212</v>
      </c>
      <c r="X182" s="319" t="s">
        <v>166</v>
      </c>
      <c r="Y182" s="436" t="s">
        <v>17</v>
      </c>
    </row>
    <row r="183" spans="1:25" ht="21" customHeight="1">
      <c r="A183" s="435" t="s">
        <v>140</v>
      </c>
      <c r="B183" s="435"/>
      <c r="C183" s="370" t="s">
        <v>142</v>
      </c>
      <c r="D183" s="319" t="s">
        <v>143</v>
      </c>
      <c r="E183" s="319" t="s">
        <v>145</v>
      </c>
      <c r="F183" s="319" t="s">
        <v>214</v>
      </c>
      <c r="G183" s="319" t="s">
        <v>147</v>
      </c>
      <c r="H183" s="319" t="s">
        <v>148</v>
      </c>
      <c r="I183" s="319" t="s">
        <v>149</v>
      </c>
      <c r="J183" s="319" t="s">
        <v>150</v>
      </c>
      <c r="K183" s="319" t="s">
        <v>151</v>
      </c>
      <c r="L183" s="319" t="s">
        <v>152</v>
      </c>
      <c r="M183" s="319" t="s">
        <v>153</v>
      </c>
      <c r="N183" s="319" t="s">
        <v>238</v>
      </c>
      <c r="O183" s="319" t="s">
        <v>331</v>
      </c>
      <c r="P183" s="318" t="s">
        <v>303</v>
      </c>
      <c r="Q183" s="318" t="s">
        <v>154</v>
      </c>
      <c r="R183" s="319" t="s">
        <v>155</v>
      </c>
      <c r="S183" s="319" t="s">
        <v>156</v>
      </c>
      <c r="T183" s="319" t="s">
        <v>216</v>
      </c>
      <c r="U183" s="319" t="s">
        <v>157</v>
      </c>
      <c r="V183" s="319" t="s">
        <v>158</v>
      </c>
      <c r="W183" s="319" t="s">
        <v>213</v>
      </c>
      <c r="X183" s="319" t="s">
        <v>159</v>
      </c>
      <c r="Y183" s="436"/>
    </row>
    <row r="184" spans="1:25" ht="21" customHeight="1">
      <c r="A184" s="224">
        <v>331000</v>
      </c>
      <c r="B184" s="227" t="s">
        <v>300</v>
      </c>
      <c r="C184" s="228"/>
      <c r="D184" s="225"/>
      <c r="E184" s="225"/>
      <c r="F184" s="225"/>
      <c r="G184" s="225"/>
      <c r="H184" s="225"/>
      <c r="I184" s="225"/>
      <c r="J184" s="225"/>
      <c r="K184" s="225"/>
      <c r="L184" s="225"/>
      <c r="M184" s="225"/>
      <c r="N184" s="225"/>
      <c r="O184" s="226"/>
      <c r="P184" s="226"/>
      <c r="Q184" s="226"/>
      <c r="R184" s="225"/>
      <c r="S184" s="225"/>
      <c r="T184" s="225"/>
      <c r="U184" s="225"/>
      <c r="V184" s="225"/>
      <c r="W184" s="225"/>
      <c r="X184" s="225"/>
      <c r="Y184" s="95">
        <f>SUM(C184:X184)</f>
        <v>0</v>
      </c>
    </row>
    <row r="185" spans="1:25" ht="21" customHeight="1">
      <c r="A185" s="93">
        <v>331200</v>
      </c>
      <c r="B185" s="68" t="s">
        <v>198</v>
      </c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164"/>
      <c r="P185" s="164"/>
      <c r="Q185" s="164"/>
      <c r="R185" s="70"/>
      <c r="S185" s="70"/>
      <c r="T185" s="70"/>
      <c r="U185" s="70"/>
      <c r="V185" s="70"/>
      <c r="W185" s="70"/>
      <c r="X185" s="70"/>
      <c r="Y185" s="95">
        <f>SUM(C185:X185)</f>
        <v>0</v>
      </c>
    </row>
    <row r="186" spans="1:25" ht="21" customHeight="1">
      <c r="A186" s="93">
        <v>331300</v>
      </c>
      <c r="B186" s="68" t="s">
        <v>199</v>
      </c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164"/>
      <c r="P186" s="164"/>
      <c r="Q186" s="164"/>
      <c r="R186" s="70"/>
      <c r="S186" s="70"/>
      <c r="T186" s="70"/>
      <c r="U186" s="70"/>
      <c r="V186" s="70"/>
      <c r="W186" s="70"/>
      <c r="X186" s="70"/>
      <c r="Y186" s="95">
        <f t="shared" ref="Y186:Y189" si="71">SUM(C186:X186)</f>
        <v>0</v>
      </c>
    </row>
    <row r="187" spans="1:25" ht="21" customHeight="1">
      <c r="A187" s="93">
        <v>331400</v>
      </c>
      <c r="B187" s="68" t="s">
        <v>196</v>
      </c>
      <c r="C187" s="70">
        <v>11170</v>
      </c>
      <c r="D187" s="70">
        <v>13300</v>
      </c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164"/>
      <c r="P187" s="164"/>
      <c r="Q187" s="164"/>
      <c r="R187" s="70"/>
      <c r="S187" s="70"/>
      <c r="T187" s="70"/>
      <c r="U187" s="70"/>
      <c r="V187" s="70"/>
      <c r="W187" s="70"/>
      <c r="X187" s="70"/>
      <c r="Y187" s="95">
        <f t="shared" si="71"/>
        <v>24470</v>
      </c>
    </row>
    <row r="188" spans="1:25" ht="21" customHeight="1">
      <c r="A188" s="93">
        <v>331500</v>
      </c>
      <c r="B188" s="68" t="s">
        <v>200</v>
      </c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164"/>
      <c r="P188" s="164"/>
      <c r="Q188" s="164"/>
      <c r="R188" s="70"/>
      <c r="S188" s="70"/>
      <c r="T188" s="70"/>
      <c r="U188" s="70"/>
      <c r="V188" s="70"/>
      <c r="W188" s="70"/>
      <c r="X188" s="70"/>
      <c r="Y188" s="95">
        <f t="shared" si="71"/>
        <v>0</v>
      </c>
    </row>
    <row r="189" spans="1:25" ht="21" customHeight="1">
      <c r="A189" s="96">
        <v>331700</v>
      </c>
      <c r="B189" s="69" t="s">
        <v>201</v>
      </c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165"/>
      <c r="P189" s="165"/>
      <c r="Q189" s="165"/>
      <c r="R189" s="76"/>
      <c r="S189" s="76"/>
      <c r="T189" s="76"/>
      <c r="U189" s="76"/>
      <c r="V189" s="76"/>
      <c r="W189" s="76"/>
      <c r="X189" s="76"/>
      <c r="Y189" s="95">
        <f t="shared" si="71"/>
        <v>0</v>
      </c>
    </row>
    <row r="190" spans="1:25" ht="21" customHeight="1">
      <c r="A190" s="426" t="s">
        <v>174</v>
      </c>
      <c r="B190" s="427"/>
      <c r="C190" s="95">
        <f t="shared" ref="C190:X190" si="72">SUM(C174:C189)</f>
        <v>61802.979999999996</v>
      </c>
      <c r="D190" s="95">
        <f t="shared" si="72"/>
        <v>18392.36</v>
      </c>
      <c r="E190" s="95">
        <f t="shared" si="72"/>
        <v>0</v>
      </c>
      <c r="F190" s="95">
        <f t="shared" si="72"/>
        <v>0</v>
      </c>
      <c r="G190" s="95">
        <f t="shared" si="72"/>
        <v>0</v>
      </c>
      <c r="H190" s="95">
        <f t="shared" si="72"/>
        <v>0</v>
      </c>
      <c r="I190" s="95">
        <f t="shared" si="72"/>
        <v>0</v>
      </c>
      <c r="J190" s="95">
        <f t="shared" si="72"/>
        <v>7390</v>
      </c>
      <c r="K190" s="95">
        <f t="shared" si="72"/>
        <v>0</v>
      </c>
      <c r="L190" s="95">
        <f t="shared" si="72"/>
        <v>215.04</v>
      </c>
      <c r="M190" s="95">
        <f t="shared" si="72"/>
        <v>19041.3</v>
      </c>
      <c r="N190" s="95">
        <f t="shared" si="72"/>
        <v>30144.41</v>
      </c>
      <c r="O190" s="95">
        <f t="shared" si="72"/>
        <v>0</v>
      </c>
      <c r="P190" s="95">
        <f t="shared" si="72"/>
        <v>0</v>
      </c>
      <c r="Q190" s="95">
        <f t="shared" si="72"/>
        <v>0</v>
      </c>
      <c r="R190" s="95">
        <f t="shared" si="72"/>
        <v>0</v>
      </c>
      <c r="S190" s="95">
        <f t="shared" si="72"/>
        <v>0</v>
      </c>
      <c r="T190" s="95">
        <f t="shared" si="72"/>
        <v>0</v>
      </c>
      <c r="U190" s="95">
        <f t="shared" si="72"/>
        <v>0</v>
      </c>
      <c r="V190" s="95">
        <f t="shared" si="72"/>
        <v>0</v>
      </c>
      <c r="W190" s="95">
        <f t="shared" si="72"/>
        <v>10361</v>
      </c>
      <c r="X190" s="95">
        <f t="shared" si="72"/>
        <v>0</v>
      </c>
      <c r="Y190" s="95">
        <f>SUM(Y174:Y189)</f>
        <v>147347.09</v>
      </c>
    </row>
    <row r="191" spans="1:25" ht="21" customHeight="1">
      <c r="A191" s="428" t="s">
        <v>175</v>
      </c>
      <c r="B191" s="429"/>
      <c r="C191" s="99">
        <f>+C190+C73</f>
        <v>79878.98</v>
      </c>
      <c r="D191" s="99">
        <f t="shared" ref="D191:Y191" si="73">+D190+D73</f>
        <v>18392.36</v>
      </c>
      <c r="E191" s="99">
        <f t="shared" si="73"/>
        <v>0</v>
      </c>
      <c r="F191" s="99">
        <f t="shared" si="73"/>
        <v>0</v>
      </c>
      <c r="G191" s="99">
        <f t="shared" si="73"/>
        <v>0</v>
      </c>
      <c r="H191" s="99">
        <f t="shared" si="73"/>
        <v>0</v>
      </c>
      <c r="I191" s="99">
        <f t="shared" si="73"/>
        <v>0</v>
      </c>
      <c r="J191" s="99">
        <f t="shared" si="73"/>
        <v>7390</v>
      </c>
      <c r="K191" s="99">
        <f t="shared" si="73"/>
        <v>0</v>
      </c>
      <c r="L191" s="99">
        <f t="shared" si="73"/>
        <v>215.04</v>
      </c>
      <c r="M191" s="99">
        <f t="shared" si="73"/>
        <v>19041.3</v>
      </c>
      <c r="N191" s="99">
        <f t="shared" si="73"/>
        <v>30144.41</v>
      </c>
      <c r="O191" s="99">
        <f t="shared" si="73"/>
        <v>0</v>
      </c>
      <c r="P191" s="99">
        <f t="shared" si="73"/>
        <v>0</v>
      </c>
      <c r="Q191" s="99">
        <f t="shared" si="73"/>
        <v>0</v>
      </c>
      <c r="R191" s="99">
        <f t="shared" si="73"/>
        <v>0</v>
      </c>
      <c r="S191" s="99">
        <f t="shared" si="73"/>
        <v>0</v>
      </c>
      <c r="T191" s="99">
        <f t="shared" si="73"/>
        <v>0</v>
      </c>
      <c r="U191" s="99">
        <f t="shared" si="73"/>
        <v>0</v>
      </c>
      <c r="V191" s="99">
        <f t="shared" si="73"/>
        <v>0</v>
      </c>
      <c r="W191" s="99">
        <f t="shared" si="73"/>
        <v>10361</v>
      </c>
      <c r="X191" s="99">
        <f t="shared" si="73"/>
        <v>0</v>
      </c>
      <c r="Y191" s="99">
        <f t="shared" si="73"/>
        <v>165423.09</v>
      </c>
    </row>
    <row r="192" spans="1:25" ht="21" customHeight="1">
      <c r="A192" s="432" t="s">
        <v>391</v>
      </c>
      <c r="B192" s="433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67"/>
      <c r="P192" s="167"/>
      <c r="Q192" s="167"/>
      <c r="R192" s="100"/>
      <c r="S192" s="100"/>
      <c r="T192" s="100"/>
      <c r="U192" s="100"/>
      <c r="V192" s="100"/>
      <c r="W192" s="100"/>
      <c r="X192" s="100"/>
      <c r="Y192" s="101">
        <f t="shared" ref="Y192" si="74">SUM(C192:X192)</f>
        <v>0</v>
      </c>
    </row>
    <row r="193" spans="1:25" ht="21" customHeight="1">
      <c r="A193" s="93">
        <v>340100</v>
      </c>
      <c r="B193" s="68" t="s">
        <v>202</v>
      </c>
      <c r="C193" s="70">
        <v>18135.86</v>
      </c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164"/>
      <c r="P193" s="164"/>
      <c r="Q193" s="164"/>
      <c r="R193" s="70"/>
      <c r="S193" s="70"/>
      <c r="T193" s="70"/>
      <c r="U193" s="70"/>
      <c r="V193" s="70"/>
      <c r="W193" s="70">
        <v>47297.68</v>
      </c>
      <c r="X193" s="70"/>
      <c r="Y193" s="95">
        <f>SUM(C193:X193)</f>
        <v>65433.54</v>
      </c>
    </row>
    <row r="194" spans="1:25" ht="21" customHeight="1">
      <c r="A194" s="93">
        <v>340300</v>
      </c>
      <c r="B194" s="68" t="s">
        <v>203</v>
      </c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164"/>
      <c r="P194" s="164"/>
      <c r="Q194" s="164"/>
      <c r="R194" s="70"/>
      <c r="S194" s="70"/>
      <c r="T194" s="70"/>
      <c r="U194" s="70"/>
      <c r="V194" s="70"/>
      <c r="W194" s="70"/>
      <c r="X194" s="70"/>
      <c r="Y194" s="95">
        <f t="shared" ref="Y194:Y196" si="75">SUM(C194:X194)</f>
        <v>0</v>
      </c>
    </row>
    <row r="195" spans="1:25" ht="21" customHeight="1">
      <c r="A195" s="93">
        <v>340400</v>
      </c>
      <c r="B195" s="68" t="s">
        <v>204</v>
      </c>
      <c r="C195" s="70">
        <v>2628</v>
      </c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164"/>
      <c r="P195" s="164"/>
      <c r="Q195" s="164"/>
      <c r="R195" s="70"/>
      <c r="S195" s="70"/>
      <c r="T195" s="70"/>
      <c r="U195" s="70"/>
      <c r="V195" s="70"/>
      <c r="W195" s="70"/>
      <c r="X195" s="70"/>
      <c r="Y195" s="95">
        <f t="shared" si="75"/>
        <v>2628</v>
      </c>
    </row>
    <row r="196" spans="1:25" ht="21" customHeight="1">
      <c r="A196" s="96">
        <v>340500</v>
      </c>
      <c r="B196" s="69" t="s">
        <v>205</v>
      </c>
      <c r="C196" s="70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165"/>
      <c r="P196" s="165"/>
      <c r="Q196" s="165"/>
      <c r="R196" s="76"/>
      <c r="S196" s="76"/>
      <c r="T196" s="76"/>
      <c r="U196" s="76"/>
      <c r="V196" s="76"/>
      <c r="W196" s="76"/>
      <c r="X196" s="76"/>
      <c r="Y196" s="98">
        <f t="shared" si="75"/>
        <v>0</v>
      </c>
    </row>
    <row r="197" spans="1:25" ht="21" customHeight="1">
      <c r="A197" s="426" t="s">
        <v>174</v>
      </c>
      <c r="B197" s="427"/>
      <c r="C197" s="95">
        <f>SUM(C193:C196)</f>
        <v>20763.86</v>
      </c>
      <c r="D197" s="95">
        <f t="shared" ref="D197:Y197" si="76">SUM(D193:D196)</f>
        <v>0</v>
      </c>
      <c r="E197" s="95">
        <f t="shared" si="76"/>
        <v>0</v>
      </c>
      <c r="F197" s="95">
        <f t="shared" si="76"/>
        <v>0</v>
      </c>
      <c r="G197" s="95">
        <f t="shared" si="76"/>
        <v>0</v>
      </c>
      <c r="H197" s="95">
        <f t="shared" si="76"/>
        <v>0</v>
      </c>
      <c r="I197" s="95">
        <f t="shared" si="76"/>
        <v>0</v>
      </c>
      <c r="J197" s="95">
        <f t="shared" si="76"/>
        <v>0</v>
      </c>
      <c r="K197" s="95">
        <f t="shared" si="76"/>
        <v>0</v>
      </c>
      <c r="L197" s="95">
        <f t="shared" si="76"/>
        <v>0</v>
      </c>
      <c r="M197" s="95">
        <f t="shared" si="76"/>
        <v>0</v>
      </c>
      <c r="N197" s="95">
        <f t="shared" si="76"/>
        <v>0</v>
      </c>
      <c r="O197" s="95">
        <f t="shared" si="76"/>
        <v>0</v>
      </c>
      <c r="P197" s="95">
        <f t="shared" si="76"/>
        <v>0</v>
      </c>
      <c r="Q197" s="95">
        <f t="shared" si="76"/>
        <v>0</v>
      </c>
      <c r="R197" s="95">
        <f t="shared" si="76"/>
        <v>0</v>
      </c>
      <c r="S197" s="95">
        <f t="shared" si="76"/>
        <v>0</v>
      </c>
      <c r="T197" s="95">
        <f t="shared" si="76"/>
        <v>0</v>
      </c>
      <c r="U197" s="95">
        <f t="shared" si="76"/>
        <v>0</v>
      </c>
      <c r="V197" s="95">
        <f t="shared" si="76"/>
        <v>0</v>
      </c>
      <c r="W197" s="95">
        <f t="shared" si="76"/>
        <v>47297.68</v>
      </c>
      <c r="X197" s="95">
        <f t="shared" si="76"/>
        <v>0</v>
      </c>
      <c r="Y197" s="95">
        <f t="shared" si="76"/>
        <v>68061.540000000008</v>
      </c>
    </row>
    <row r="198" spans="1:25" ht="21" customHeight="1">
      <c r="A198" s="428" t="s">
        <v>175</v>
      </c>
      <c r="B198" s="429"/>
      <c r="C198" s="99">
        <f>+C197+C80</f>
        <v>56841.94</v>
      </c>
      <c r="D198" s="99">
        <f t="shared" ref="D198:Y198" si="77">+D197+D80</f>
        <v>0</v>
      </c>
      <c r="E198" s="99">
        <f t="shared" si="77"/>
        <v>0</v>
      </c>
      <c r="F198" s="99">
        <f t="shared" si="77"/>
        <v>0</v>
      </c>
      <c r="G198" s="99">
        <f t="shared" si="77"/>
        <v>0</v>
      </c>
      <c r="H198" s="99">
        <f t="shared" si="77"/>
        <v>0</v>
      </c>
      <c r="I198" s="99">
        <f t="shared" si="77"/>
        <v>0</v>
      </c>
      <c r="J198" s="99">
        <f t="shared" si="77"/>
        <v>0</v>
      </c>
      <c r="K198" s="99">
        <f t="shared" si="77"/>
        <v>0</v>
      </c>
      <c r="L198" s="99">
        <f t="shared" si="77"/>
        <v>0</v>
      </c>
      <c r="M198" s="99">
        <f t="shared" si="77"/>
        <v>0</v>
      </c>
      <c r="N198" s="99">
        <f t="shared" si="77"/>
        <v>0</v>
      </c>
      <c r="O198" s="99">
        <f t="shared" si="77"/>
        <v>0</v>
      </c>
      <c r="P198" s="99">
        <f t="shared" si="77"/>
        <v>0</v>
      </c>
      <c r="Q198" s="99">
        <f t="shared" si="77"/>
        <v>0</v>
      </c>
      <c r="R198" s="99">
        <f t="shared" si="77"/>
        <v>0</v>
      </c>
      <c r="S198" s="99">
        <f t="shared" si="77"/>
        <v>0</v>
      </c>
      <c r="T198" s="99">
        <f t="shared" si="77"/>
        <v>0</v>
      </c>
      <c r="U198" s="99">
        <f t="shared" si="77"/>
        <v>0</v>
      </c>
      <c r="V198" s="99">
        <f t="shared" si="77"/>
        <v>0</v>
      </c>
      <c r="W198" s="99">
        <f t="shared" si="77"/>
        <v>94193.03</v>
      </c>
      <c r="X198" s="99">
        <f t="shared" si="77"/>
        <v>0</v>
      </c>
      <c r="Y198" s="99">
        <f t="shared" si="77"/>
        <v>151034.97000000003</v>
      </c>
    </row>
    <row r="199" spans="1:25" ht="21" customHeight="1">
      <c r="A199" s="432" t="s">
        <v>392</v>
      </c>
      <c r="B199" s="433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67"/>
      <c r="P199" s="167"/>
      <c r="Q199" s="167"/>
      <c r="R199" s="100"/>
      <c r="S199" s="100"/>
      <c r="T199" s="100"/>
      <c r="U199" s="100"/>
      <c r="V199" s="100"/>
      <c r="W199" s="100"/>
      <c r="X199" s="100"/>
      <c r="Y199" s="101">
        <f t="shared" ref="Y199:Y211" si="78">SUM(C199:X199)</f>
        <v>0</v>
      </c>
    </row>
    <row r="200" spans="1:25" ht="21" customHeight="1">
      <c r="A200" s="93">
        <v>410400</v>
      </c>
      <c r="B200" s="68" t="s">
        <v>206</v>
      </c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164"/>
      <c r="P200" s="164"/>
      <c r="Q200" s="164"/>
      <c r="R200" s="70"/>
      <c r="S200" s="70"/>
      <c r="T200" s="70"/>
      <c r="U200" s="70"/>
      <c r="V200" s="70"/>
      <c r="W200" s="70"/>
      <c r="X200" s="70"/>
      <c r="Y200" s="95">
        <f t="shared" si="78"/>
        <v>0</v>
      </c>
    </row>
    <row r="201" spans="1:25" ht="21" customHeight="1">
      <c r="A201" s="93">
        <v>410200</v>
      </c>
      <c r="B201" s="68" t="s">
        <v>224</v>
      </c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164"/>
      <c r="P201" s="164"/>
      <c r="Q201" s="164"/>
      <c r="R201" s="70"/>
      <c r="S201" s="70"/>
      <c r="T201" s="70"/>
      <c r="U201" s="70"/>
      <c r="V201" s="70"/>
      <c r="W201" s="70"/>
      <c r="X201" s="70"/>
      <c r="Y201" s="95">
        <f t="shared" si="78"/>
        <v>0</v>
      </c>
    </row>
    <row r="202" spans="1:25" ht="21" customHeight="1">
      <c r="A202" s="93">
        <v>410300</v>
      </c>
      <c r="B202" s="68" t="s">
        <v>207</v>
      </c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164"/>
      <c r="P202" s="164"/>
      <c r="Q202" s="164"/>
      <c r="R202" s="70"/>
      <c r="S202" s="70"/>
      <c r="T202" s="70"/>
      <c r="U202" s="70"/>
      <c r="V202" s="70"/>
      <c r="W202" s="70"/>
      <c r="X202" s="70"/>
      <c r="Y202" s="95">
        <f t="shared" si="78"/>
        <v>0</v>
      </c>
    </row>
    <row r="203" spans="1:25" ht="21" customHeight="1">
      <c r="A203" s="93">
        <v>410400</v>
      </c>
      <c r="B203" s="68" t="s">
        <v>225</v>
      </c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165"/>
      <c r="P203" s="165"/>
      <c r="Q203" s="165"/>
      <c r="R203" s="76"/>
      <c r="S203" s="76"/>
      <c r="T203" s="76"/>
      <c r="U203" s="76"/>
      <c r="V203" s="76"/>
      <c r="W203" s="76"/>
      <c r="X203" s="76"/>
      <c r="Y203" s="95">
        <f t="shared" si="78"/>
        <v>0</v>
      </c>
    </row>
    <row r="204" spans="1:25" ht="21" customHeight="1">
      <c r="A204" s="93">
        <v>410500</v>
      </c>
      <c r="B204" s="68" t="s">
        <v>226</v>
      </c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165"/>
      <c r="P204" s="165"/>
      <c r="Q204" s="165"/>
      <c r="R204" s="76"/>
      <c r="S204" s="76"/>
      <c r="T204" s="76"/>
      <c r="U204" s="76"/>
      <c r="V204" s="76"/>
      <c r="W204" s="76"/>
      <c r="X204" s="76"/>
      <c r="Y204" s="95">
        <f t="shared" si="78"/>
        <v>0</v>
      </c>
    </row>
    <row r="205" spans="1:25" ht="21" customHeight="1">
      <c r="A205" s="93">
        <v>410600</v>
      </c>
      <c r="B205" s="68" t="s">
        <v>227</v>
      </c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165"/>
      <c r="P205" s="165"/>
      <c r="Q205" s="165"/>
      <c r="R205" s="76"/>
      <c r="S205" s="76"/>
      <c r="T205" s="76"/>
      <c r="U205" s="76"/>
      <c r="V205" s="76"/>
      <c r="W205" s="76"/>
      <c r="X205" s="76"/>
      <c r="Y205" s="95">
        <f t="shared" si="78"/>
        <v>0</v>
      </c>
    </row>
    <row r="206" spans="1:25" ht="21" customHeight="1">
      <c r="A206" s="93">
        <v>410700</v>
      </c>
      <c r="B206" s="68" t="s">
        <v>208</v>
      </c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164"/>
      <c r="P206" s="164"/>
      <c r="Q206" s="164"/>
      <c r="R206" s="70"/>
      <c r="S206" s="70"/>
      <c r="T206" s="70"/>
      <c r="U206" s="70"/>
      <c r="V206" s="70"/>
      <c r="W206" s="70"/>
      <c r="X206" s="70"/>
      <c r="Y206" s="95">
        <f t="shared" si="78"/>
        <v>0</v>
      </c>
    </row>
    <row r="207" spans="1:25" ht="21" customHeight="1">
      <c r="A207" s="93">
        <v>410800</v>
      </c>
      <c r="B207" s="68" t="s">
        <v>228</v>
      </c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165"/>
      <c r="P207" s="165"/>
      <c r="Q207" s="165"/>
      <c r="R207" s="76"/>
      <c r="S207" s="76"/>
      <c r="T207" s="76"/>
      <c r="U207" s="76"/>
      <c r="V207" s="76"/>
      <c r="W207" s="76"/>
      <c r="X207" s="76"/>
      <c r="Y207" s="95">
        <f t="shared" si="78"/>
        <v>0</v>
      </c>
    </row>
    <row r="208" spans="1:25" ht="21" customHeight="1">
      <c r="A208" s="93">
        <v>410900</v>
      </c>
      <c r="B208" s="68" t="s">
        <v>243</v>
      </c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165"/>
      <c r="P208" s="165"/>
      <c r="Q208" s="165"/>
      <c r="R208" s="76"/>
      <c r="S208" s="76"/>
      <c r="T208" s="76"/>
      <c r="U208" s="76"/>
      <c r="V208" s="76"/>
      <c r="W208" s="76"/>
      <c r="X208" s="76"/>
      <c r="Y208" s="95">
        <f t="shared" si="78"/>
        <v>0</v>
      </c>
    </row>
    <row r="209" spans="1:25" ht="21" customHeight="1">
      <c r="A209" s="93">
        <v>411000</v>
      </c>
      <c r="B209" s="68" t="s">
        <v>295</v>
      </c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165"/>
      <c r="P209" s="165"/>
      <c r="Q209" s="165"/>
      <c r="R209" s="76"/>
      <c r="S209" s="76"/>
      <c r="T209" s="76"/>
      <c r="U209" s="76"/>
      <c r="V209" s="76"/>
      <c r="W209" s="76"/>
      <c r="X209" s="76"/>
      <c r="Y209" s="95">
        <f t="shared" si="78"/>
        <v>0</v>
      </c>
    </row>
    <row r="210" spans="1:25" ht="21" customHeight="1">
      <c r="A210" s="93">
        <v>411100</v>
      </c>
      <c r="B210" s="68" t="s">
        <v>260</v>
      </c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165"/>
      <c r="P210" s="165"/>
      <c r="Q210" s="165"/>
      <c r="R210" s="76"/>
      <c r="S210" s="76"/>
      <c r="T210" s="76"/>
      <c r="U210" s="76"/>
      <c r="V210" s="76"/>
      <c r="W210" s="76"/>
      <c r="X210" s="76"/>
      <c r="Y210" s="95">
        <f t="shared" si="78"/>
        <v>0</v>
      </c>
    </row>
    <row r="211" spans="1:25" ht="21" customHeight="1">
      <c r="A211" s="93">
        <v>411300</v>
      </c>
      <c r="B211" s="68" t="s">
        <v>296</v>
      </c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165"/>
      <c r="P211" s="165"/>
      <c r="Q211" s="165"/>
      <c r="R211" s="76"/>
      <c r="S211" s="76"/>
      <c r="T211" s="76"/>
      <c r="U211" s="76"/>
      <c r="V211" s="76"/>
      <c r="W211" s="76"/>
      <c r="X211" s="76"/>
      <c r="Y211" s="95">
        <f t="shared" si="78"/>
        <v>0</v>
      </c>
    </row>
    <row r="212" spans="1:25" ht="21" customHeight="1">
      <c r="A212" s="93">
        <v>411600</v>
      </c>
      <c r="B212" s="68" t="s">
        <v>229</v>
      </c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164"/>
      <c r="P212" s="164"/>
      <c r="Q212" s="164"/>
      <c r="R212" s="70"/>
      <c r="S212" s="70"/>
      <c r="T212" s="70"/>
      <c r="U212" s="70"/>
      <c r="V212" s="70"/>
      <c r="W212" s="70"/>
      <c r="X212" s="70"/>
      <c r="Y212" s="95">
        <f>SUM(C212:X212)</f>
        <v>0</v>
      </c>
    </row>
    <row r="213" spans="1:25" ht="21" customHeight="1">
      <c r="A213" s="93">
        <v>411800</v>
      </c>
      <c r="B213" s="68" t="s">
        <v>209</v>
      </c>
      <c r="C213" s="70"/>
      <c r="D213" s="70"/>
      <c r="E213" s="70"/>
      <c r="F213" s="70"/>
      <c r="G213" s="70">
        <v>0</v>
      </c>
      <c r="H213" s="70"/>
      <c r="I213" s="70"/>
      <c r="J213" s="70"/>
      <c r="K213" s="70"/>
      <c r="L213" s="70"/>
      <c r="M213" s="70"/>
      <c r="N213" s="70"/>
      <c r="O213" s="164"/>
      <c r="P213" s="164"/>
      <c r="Q213" s="164"/>
      <c r="R213" s="70"/>
      <c r="S213" s="70"/>
      <c r="T213" s="70"/>
      <c r="U213" s="70"/>
      <c r="V213" s="70"/>
      <c r="W213" s="70">
        <v>0</v>
      </c>
      <c r="X213" s="70"/>
      <c r="Y213" s="95">
        <f>SUM(C213:X213)</f>
        <v>0</v>
      </c>
    </row>
    <row r="214" spans="1:25" ht="21" customHeight="1">
      <c r="A214" s="426" t="s">
        <v>174</v>
      </c>
      <c r="B214" s="427"/>
      <c r="C214" s="95">
        <f>SUM(C200:C213)</f>
        <v>0</v>
      </c>
      <c r="D214" s="95">
        <f t="shared" ref="D214:P214" si="79">SUM(D200:D213)</f>
        <v>0</v>
      </c>
      <c r="E214" s="95">
        <f t="shared" si="79"/>
        <v>0</v>
      </c>
      <c r="F214" s="95">
        <f t="shared" si="79"/>
        <v>0</v>
      </c>
      <c r="G214" s="95">
        <f t="shared" si="79"/>
        <v>0</v>
      </c>
      <c r="H214" s="95">
        <f t="shared" si="79"/>
        <v>0</v>
      </c>
      <c r="I214" s="95">
        <f t="shared" si="79"/>
        <v>0</v>
      </c>
      <c r="J214" s="95">
        <f t="shared" si="79"/>
        <v>0</v>
      </c>
      <c r="K214" s="95">
        <f t="shared" si="79"/>
        <v>0</v>
      </c>
      <c r="L214" s="95">
        <f t="shared" si="79"/>
        <v>0</v>
      </c>
      <c r="M214" s="95">
        <f t="shared" si="79"/>
        <v>0</v>
      </c>
      <c r="N214" s="95">
        <f t="shared" si="79"/>
        <v>0</v>
      </c>
      <c r="O214" s="95">
        <f t="shared" si="79"/>
        <v>0</v>
      </c>
      <c r="P214" s="95">
        <f t="shared" si="79"/>
        <v>0</v>
      </c>
      <c r="Q214" s="166">
        <f>SUM(Q200:Q213)</f>
        <v>0</v>
      </c>
      <c r="R214" s="95">
        <f>SUM(R200:R213)</f>
        <v>0</v>
      </c>
      <c r="S214" s="95">
        <f>SUM(S200:S213)</f>
        <v>0</v>
      </c>
      <c r="T214" s="95"/>
      <c r="U214" s="95">
        <f>SUM(U200:U213)</f>
        <v>0</v>
      </c>
      <c r="V214" s="95">
        <f>SUM(V200:V213)</f>
        <v>0</v>
      </c>
      <c r="W214" s="95">
        <f>SUM(W200:W213)</f>
        <v>0</v>
      </c>
      <c r="X214" s="95">
        <f>SUM(X200:X213)</f>
        <v>0</v>
      </c>
      <c r="Y214" s="95">
        <f>SUM(C214:X214)</f>
        <v>0</v>
      </c>
    </row>
    <row r="215" spans="1:25" ht="21" customHeight="1">
      <c r="A215" s="428" t="s">
        <v>175</v>
      </c>
      <c r="B215" s="429"/>
      <c r="C215" s="99">
        <f>+C214+C97</f>
        <v>0</v>
      </c>
      <c r="D215" s="99">
        <f t="shared" ref="D215:Y215" si="80">+D214+D97</f>
        <v>0</v>
      </c>
      <c r="E215" s="99">
        <f t="shared" si="80"/>
        <v>0</v>
      </c>
      <c r="F215" s="99">
        <f t="shared" si="80"/>
        <v>0</v>
      </c>
      <c r="G215" s="99">
        <f t="shared" si="80"/>
        <v>0</v>
      </c>
      <c r="H215" s="99">
        <f t="shared" si="80"/>
        <v>0</v>
      </c>
      <c r="I215" s="99">
        <f t="shared" si="80"/>
        <v>0</v>
      </c>
      <c r="J215" s="99">
        <f t="shared" si="80"/>
        <v>0</v>
      </c>
      <c r="K215" s="99">
        <f t="shared" si="80"/>
        <v>0</v>
      </c>
      <c r="L215" s="99">
        <f t="shared" si="80"/>
        <v>0</v>
      </c>
      <c r="M215" s="99">
        <f t="shared" si="80"/>
        <v>0</v>
      </c>
      <c r="N215" s="99">
        <f t="shared" si="80"/>
        <v>0</v>
      </c>
      <c r="O215" s="99">
        <f t="shared" si="80"/>
        <v>0</v>
      </c>
      <c r="P215" s="99">
        <f t="shared" si="80"/>
        <v>0</v>
      </c>
      <c r="Q215" s="99">
        <f t="shared" si="80"/>
        <v>0</v>
      </c>
      <c r="R215" s="99">
        <f t="shared" si="80"/>
        <v>0</v>
      </c>
      <c r="S215" s="99">
        <f t="shared" si="80"/>
        <v>0</v>
      </c>
      <c r="T215" s="99">
        <f t="shared" si="80"/>
        <v>0</v>
      </c>
      <c r="U215" s="99">
        <f t="shared" si="80"/>
        <v>0</v>
      </c>
      <c r="V215" s="99">
        <f t="shared" si="80"/>
        <v>0</v>
      </c>
      <c r="W215" s="99">
        <f t="shared" si="80"/>
        <v>0</v>
      </c>
      <c r="X215" s="99">
        <f t="shared" si="80"/>
        <v>0</v>
      </c>
      <c r="Y215" s="99">
        <f t="shared" si="80"/>
        <v>0</v>
      </c>
    </row>
    <row r="216" spans="1:25" ht="21" customHeight="1">
      <c r="A216" s="435" t="s">
        <v>139</v>
      </c>
      <c r="B216" s="435"/>
      <c r="C216" s="434" t="s">
        <v>141</v>
      </c>
      <c r="D216" s="434"/>
      <c r="E216" s="437" t="s">
        <v>144</v>
      </c>
      <c r="F216" s="438"/>
      <c r="G216" s="434" t="s">
        <v>146</v>
      </c>
      <c r="H216" s="435"/>
      <c r="I216" s="437" t="s">
        <v>160</v>
      </c>
      <c r="J216" s="438"/>
      <c r="K216" s="319" t="s">
        <v>161</v>
      </c>
      <c r="L216" s="437" t="s">
        <v>162</v>
      </c>
      <c r="M216" s="439"/>
      <c r="N216" s="439"/>
      <c r="O216" s="438"/>
      <c r="P216" s="437" t="s">
        <v>163</v>
      </c>
      <c r="Q216" s="438"/>
      <c r="R216" s="437" t="s">
        <v>164</v>
      </c>
      <c r="S216" s="439"/>
      <c r="T216" s="438"/>
      <c r="U216" s="434" t="s">
        <v>165</v>
      </c>
      <c r="V216" s="435"/>
      <c r="W216" s="319" t="s">
        <v>212</v>
      </c>
      <c r="X216" s="319" t="s">
        <v>166</v>
      </c>
      <c r="Y216" s="436" t="s">
        <v>17</v>
      </c>
    </row>
    <row r="217" spans="1:25" ht="21" customHeight="1">
      <c r="A217" s="435" t="s">
        <v>140</v>
      </c>
      <c r="B217" s="435"/>
      <c r="C217" s="370" t="s">
        <v>142</v>
      </c>
      <c r="D217" s="319" t="s">
        <v>143</v>
      </c>
      <c r="E217" s="319" t="s">
        <v>145</v>
      </c>
      <c r="F217" s="319" t="s">
        <v>214</v>
      </c>
      <c r="G217" s="319" t="s">
        <v>147</v>
      </c>
      <c r="H217" s="319" t="s">
        <v>148</v>
      </c>
      <c r="I217" s="319" t="s">
        <v>149</v>
      </c>
      <c r="J217" s="319" t="s">
        <v>150</v>
      </c>
      <c r="K217" s="319" t="s">
        <v>151</v>
      </c>
      <c r="L217" s="319" t="s">
        <v>152</v>
      </c>
      <c r="M217" s="319" t="s">
        <v>153</v>
      </c>
      <c r="N217" s="319" t="s">
        <v>238</v>
      </c>
      <c r="O217" s="269" t="s">
        <v>331</v>
      </c>
      <c r="P217" s="318" t="s">
        <v>303</v>
      </c>
      <c r="Q217" s="318" t="s">
        <v>154</v>
      </c>
      <c r="R217" s="319" t="s">
        <v>155</v>
      </c>
      <c r="S217" s="319" t="s">
        <v>156</v>
      </c>
      <c r="T217" s="319" t="s">
        <v>216</v>
      </c>
      <c r="U217" s="319" t="s">
        <v>157</v>
      </c>
      <c r="V217" s="319" t="s">
        <v>158</v>
      </c>
      <c r="W217" s="319" t="s">
        <v>213</v>
      </c>
      <c r="X217" s="319" t="s">
        <v>159</v>
      </c>
      <c r="Y217" s="436"/>
    </row>
    <row r="218" spans="1:25" ht="21" customHeight="1">
      <c r="A218" s="432" t="s">
        <v>393</v>
      </c>
      <c r="B218" s="433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67"/>
      <c r="P218" s="167"/>
      <c r="Q218" s="167"/>
      <c r="R218" s="100"/>
      <c r="S218" s="100"/>
      <c r="T218" s="100"/>
      <c r="U218" s="100"/>
      <c r="V218" s="100"/>
      <c r="W218" s="100"/>
      <c r="X218" s="100"/>
      <c r="Y218" s="101">
        <f>SUM(C218:X218)</f>
        <v>0</v>
      </c>
    </row>
    <row r="219" spans="1:25" ht="21" customHeight="1">
      <c r="A219" s="93">
        <v>420700</v>
      </c>
      <c r="B219" s="94" t="s">
        <v>394</v>
      </c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164"/>
      <c r="P219" s="164"/>
      <c r="Q219" s="164"/>
      <c r="R219" s="70"/>
      <c r="S219" s="70"/>
      <c r="T219" s="70"/>
      <c r="U219" s="70"/>
      <c r="V219" s="70"/>
      <c r="W219" s="70"/>
      <c r="X219" s="70"/>
      <c r="Y219" s="95">
        <f>SUM(C219:X219)</f>
        <v>0</v>
      </c>
    </row>
    <row r="220" spans="1:25" ht="21" customHeight="1">
      <c r="A220" s="96">
        <v>421000</v>
      </c>
      <c r="B220" s="97" t="s">
        <v>395</v>
      </c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165"/>
      <c r="P220" s="165"/>
      <c r="Q220" s="165"/>
      <c r="R220" s="76"/>
      <c r="S220" s="76"/>
      <c r="T220" s="76"/>
      <c r="U220" s="76"/>
      <c r="V220" s="76"/>
      <c r="W220" s="76"/>
      <c r="X220" s="76"/>
      <c r="Y220" s="95">
        <f t="shared" ref="Y220:Y221" si="81">SUM(C220:X220)</f>
        <v>0</v>
      </c>
    </row>
    <row r="221" spans="1:25" ht="21" customHeight="1">
      <c r="A221" s="96">
        <v>421100</v>
      </c>
      <c r="B221" s="97" t="s">
        <v>211</v>
      </c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165"/>
      <c r="P221" s="165"/>
      <c r="Q221" s="165"/>
      <c r="R221" s="76"/>
      <c r="S221" s="76"/>
      <c r="T221" s="76"/>
      <c r="U221" s="76"/>
      <c r="V221" s="76"/>
      <c r="W221" s="76"/>
      <c r="X221" s="76"/>
      <c r="Y221" s="95">
        <f t="shared" si="81"/>
        <v>0</v>
      </c>
    </row>
    <row r="222" spans="1:25" ht="21" customHeight="1">
      <c r="A222" s="426" t="s">
        <v>174</v>
      </c>
      <c r="B222" s="427"/>
      <c r="C222" s="95">
        <f>SUM(C219:C221)</f>
        <v>0</v>
      </c>
      <c r="D222" s="95">
        <f t="shared" ref="D222:W222" si="82">SUM(D219:D221)</f>
        <v>0</v>
      </c>
      <c r="E222" s="95">
        <f t="shared" si="82"/>
        <v>0</v>
      </c>
      <c r="F222" s="95">
        <f t="shared" si="82"/>
        <v>0</v>
      </c>
      <c r="G222" s="95">
        <f t="shared" si="82"/>
        <v>0</v>
      </c>
      <c r="H222" s="95">
        <f t="shared" si="82"/>
        <v>0</v>
      </c>
      <c r="I222" s="95">
        <f t="shared" si="82"/>
        <v>0</v>
      </c>
      <c r="J222" s="95">
        <f t="shared" si="82"/>
        <v>0</v>
      </c>
      <c r="K222" s="95">
        <f t="shared" si="82"/>
        <v>0</v>
      </c>
      <c r="L222" s="95">
        <f t="shared" si="82"/>
        <v>0</v>
      </c>
      <c r="M222" s="95">
        <f t="shared" si="82"/>
        <v>0</v>
      </c>
      <c r="N222" s="95">
        <f t="shared" si="82"/>
        <v>0</v>
      </c>
      <c r="O222" s="95">
        <f t="shared" si="82"/>
        <v>0</v>
      </c>
      <c r="P222" s="95">
        <f t="shared" si="82"/>
        <v>0</v>
      </c>
      <c r="Q222" s="95">
        <f t="shared" si="82"/>
        <v>0</v>
      </c>
      <c r="R222" s="95">
        <f t="shared" si="82"/>
        <v>0</v>
      </c>
      <c r="S222" s="95">
        <f t="shared" si="82"/>
        <v>0</v>
      </c>
      <c r="T222" s="95">
        <f t="shared" si="82"/>
        <v>0</v>
      </c>
      <c r="U222" s="95">
        <f t="shared" si="82"/>
        <v>0</v>
      </c>
      <c r="V222" s="95">
        <f t="shared" si="82"/>
        <v>0</v>
      </c>
      <c r="W222" s="95">
        <f t="shared" si="82"/>
        <v>0</v>
      </c>
      <c r="X222" s="95">
        <f>SUM(X219:X221)</f>
        <v>0</v>
      </c>
      <c r="Y222" s="95">
        <f>SUM(C222:X222)</f>
        <v>0</v>
      </c>
    </row>
    <row r="223" spans="1:25" ht="21" customHeight="1">
      <c r="A223" s="428" t="s">
        <v>175</v>
      </c>
      <c r="B223" s="429"/>
      <c r="C223" s="99">
        <f>+C222+C105</f>
        <v>0</v>
      </c>
      <c r="D223" s="99">
        <f t="shared" ref="D223:Y223" si="83">+D222+D105</f>
        <v>0</v>
      </c>
      <c r="E223" s="99">
        <f t="shared" si="83"/>
        <v>0</v>
      </c>
      <c r="F223" s="99">
        <f t="shared" si="83"/>
        <v>0</v>
      </c>
      <c r="G223" s="99">
        <f t="shared" si="83"/>
        <v>0</v>
      </c>
      <c r="H223" s="99">
        <f t="shared" si="83"/>
        <v>0</v>
      </c>
      <c r="I223" s="99">
        <f t="shared" si="83"/>
        <v>0</v>
      </c>
      <c r="J223" s="99">
        <f t="shared" si="83"/>
        <v>0</v>
      </c>
      <c r="K223" s="99">
        <f t="shared" si="83"/>
        <v>0</v>
      </c>
      <c r="L223" s="99">
        <f t="shared" si="83"/>
        <v>0</v>
      </c>
      <c r="M223" s="99">
        <f t="shared" si="83"/>
        <v>0</v>
      </c>
      <c r="N223" s="99">
        <f t="shared" si="83"/>
        <v>0</v>
      </c>
      <c r="O223" s="99">
        <f t="shared" si="83"/>
        <v>0</v>
      </c>
      <c r="P223" s="99">
        <f t="shared" si="83"/>
        <v>0</v>
      </c>
      <c r="Q223" s="99">
        <f t="shared" si="83"/>
        <v>0</v>
      </c>
      <c r="R223" s="99">
        <f t="shared" si="83"/>
        <v>0</v>
      </c>
      <c r="S223" s="99">
        <f t="shared" si="83"/>
        <v>0</v>
      </c>
      <c r="T223" s="99">
        <f t="shared" si="83"/>
        <v>0</v>
      </c>
      <c r="U223" s="99">
        <f t="shared" si="83"/>
        <v>0</v>
      </c>
      <c r="V223" s="99">
        <f t="shared" si="83"/>
        <v>0</v>
      </c>
      <c r="W223" s="99">
        <f t="shared" si="83"/>
        <v>0</v>
      </c>
      <c r="X223" s="99">
        <f t="shared" si="83"/>
        <v>0</v>
      </c>
      <c r="Y223" s="99">
        <f t="shared" si="83"/>
        <v>0</v>
      </c>
    </row>
    <row r="224" spans="1:25" ht="21" customHeight="1">
      <c r="A224" s="432" t="s">
        <v>397</v>
      </c>
      <c r="B224" s="433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67"/>
      <c r="P224" s="167"/>
      <c r="Q224" s="167"/>
      <c r="R224" s="100"/>
      <c r="S224" s="100"/>
      <c r="T224" s="100"/>
      <c r="U224" s="100"/>
      <c r="V224" s="100"/>
      <c r="W224" s="100"/>
      <c r="X224" s="100"/>
      <c r="Y224" s="101">
        <f t="shared" ref="Y224:Y226" si="84">SUM(C224:X224)</f>
        <v>0</v>
      </c>
    </row>
    <row r="225" spans="1:26" ht="21" customHeight="1">
      <c r="A225" s="93">
        <v>510100</v>
      </c>
      <c r="B225" s="102" t="s">
        <v>12</v>
      </c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164"/>
      <c r="P225" s="164"/>
      <c r="Q225" s="164"/>
      <c r="R225" s="70"/>
      <c r="S225" s="70"/>
      <c r="T225" s="70"/>
      <c r="U225" s="70"/>
      <c r="V225" s="70"/>
      <c r="W225" s="70"/>
      <c r="X225" s="70"/>
      <c r="Y225" s="95">
        <f t="shared" si="84"/>
        <v>0</v>
      </c>
    </row>
    <row r="226" spans="1:26" ht="21" customHeight="1">
      <c r="A226" s="426" t="s">
        <v>174</v>
      </c>
      <c r="B226" s="427"/>
      <c r="C226" s="95">
        <f t="shared" ref="C226:X226" si="85">SUM(C225:C225)</f>
        <v>0</v>
      </c>
      <c r="D226" s="95">
        <f t="shared" si="85"/>
        <v>0</v>
      </c>
      <c r="E226" s="95">
        <f t="shared" si="85"/>
        <v>0</v>
      </c>
      <c r="F226" s="95">
        <f t="shared" si="85"/>
        <v>0</v>
      </c>
      <c r="G226" s="95">
        <f t="shared" si="85"/>
        <v>0</v>
      </c>
      <c r="H226" s="95">
        <f t="shared" si="85"/>
        <v>0</v>
      </c>
      <c r="I226" s="95">
        <f t="shared" si="85"/>
        <v>0</v>
      </c>
      <c r="J226" s="95">
        <f t="shared" si="85"/>
        <v>0</v>
      </c>
      <c r="K226" s="95">
        <f t="shared" si="85"/>
        <v>0</v>
      </c>
      <c r="L226" s="95">
        <f t="shared" si="85"/>
        <v>0</v>
      </c>
      <c r="M226" s="95">
        <f t="shared" si="85"/>
        <v>0</v>
      </c>
      <c r="N226" s="95">
        <f t="shared" si="85"/>
        <v>0</v>
      </c>
      <c r="O226" s="95">
        <f t="shared" si="85"/>
        <v>0</v>
      </c>
      <c r="P226" s="95">
        <f t="shared" si="85"/>
        <v>0</v>
      </c>
      <c r="Q226" s="95">
        <f t="shared" si="85"/>
        <v>0</v>
      </c>
      <c r="R226" s="95">
        <f t="shared" si="85"/>
        <v>0</v>
      </c>
      <c r="S226" s="95">
        <f t="shared" si="85"/>
        <v>0</v>
      </c>
      <c r="T226" s="95">
        <f t="shared" si="85"/>
        <v>0</v>
      </c>
      <c r="U226" s="95">
        <f t="shared" si="85"/>
        <v>0</v>
      </c>
      <c r="V226" s="95">
        <f t="shared" si="85"/>
        <v>0</v>
      </c>
      <c r="W226" s="95">
        <f t="shared" si="85"/>
        <v>0</v>
      </c>
      <c r="X226" s="95">
        <f t="shared" si="85"/>
        <v>0</v>
      </c>
      <c r="Y226" s="95">
        <f t="shared" si="84"/>
        <v>0</v>
      </c>
    </row>
    <row r="227" spans="1:26" ht="21" customHeight="1">
      <c r="A227" s="428" t="s">
        <v>175</v>
      </c>
      <c r="B227" s="429"/>
      <c r="C227" s="99">
        <f>+C226+C109</f>
        <v>0</v>
      </c>
      <c r="D227" s="99">
        <f t="shared" ref="D227:X227" si="86">+D226+D109</f>
        <v>0</v>
      </c>
      <c r="E227" s="99">
        <f t="shared" si="86"/>
        <v>0</v>
      </c>
      <c r="F227" s="99">
        <f t="shared" si="86"/>
        <v>0</v>
      </c>
      <c r="G227" s="99">
        <f t="shared" si="86"/>
        <v>0</v>
      </c>
      <c r="H227" s="99">
        <f t="shared" si="86"/>
        <v>0</v>
      </c>
      <c r="I227" s="99">
        <f t="shared" si="86"/>
        <v>0</v>
      </c>
      <c r="J227" s="99">
        <f t="shared" si="86"/>
        <v>0</v>
      </c>
      <c r="K227" s="99">
        <f t="shared" si="86"/>
        <v>0</v>
      </c>
      <c r="L227" s="99">
        <f t="shared" si="86"/>
        <v>0</v>
      </c>
      <c r="M227" s="99">
        <f t="shared" si="86"/>
        <v>0</v>
      </c>
      <c r="N227" s="99">
        <f t="shared" si="86"/>
        <v>0</v>
      </c>
      <c r="O227" s="99">
        <f t="shared" si="86"/>
        <v>0</v>
      </c>
      <c r="P227" s="99">
        <f t="shared" si="86"/>
        <v>0</v>
      </c>
      <c r="Q227" s="99">
        <f t="shared" si="86"/>
        <v>0</v>
      </c>
      <c r="R227" s="99">
        <f t="shared" si="86"/>
        <v>0</v>
      </c>
      <c r="S227" s="99">
        <f t="shared" si="86"/>
        <v>0</v>
      </c>
      <c r="T227" s="99">
        <f t="shared" si="86"/>
        <v>0</v>
      </c>
      <c r="U227" s="99">
        <f t="shared" si="86"/>
        <v>0</v>
      </c>
      <c r="V227" s="99">
        <f t="shared" si="86"/>
        <v>0</v>
      </c>
      <c r="W227" s="99">
        <f t="shared" si="86"/>
        <v>0</v>
      </c>
      <c r="X227" s="99">
        <f t="shared" si="86"/>
        <v>0</v>
      </c>
      <c r="Y227" s="99">
        <f>+Y226+Y109</f>
        <v>0</v>
      </c>
    </row>
    <row r="228" spans="1:26" ht="21" customHeight="1">
      <c r="A228" s="432" t="s">
        <v>396</v>
      </c>
      <c r="B228" s="433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67"/>
      <c r="P228" s="167"/>
      <c r="Q228" s="167"/>
      <c r="R228" s="100"/>
      <c r="S228" s="100"/>
      <c r="T228" s="100"/>
      <c r="U228" s="100"/>
      <c r="V228" s="100"/>
      <c r="W228" s="100"/>
      <c r="X228" s="100"/>
      <c r="Y228" s="101">
        <f>SUM(C228:X228)</f>
        <v>0</v>
      </c>
    </row>
    <row r="229" spans="1:26" ht="21" customHeight="1">
      <c r="A229" s="93">
        <v>610100</v>
      </c>
      <c r="B229" s="94" t="s">
        <v>398</v>
      </c>
      <c r="C229" s="70">
        <v>20000</v>
      </c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164"/>
      <c r="P229" s="164"/>
      <c r="Q229" s="164"/>
      <c r="R229" s="70"/>
      <c r="S229" s="70"/>
      <c r="T229" s="70"/>
      <c r="U229" s="70"/>
      <c r="V229" s="70"/>
      <c r="W229" s="70"/>
      <c r="X229" s="70"/>
      <c r="Y229" s="95">
        <f>SUM(C229:X229)</f>
        <v>20000</v>
      </c>
    </row>
    <row r="230" spans="1:26" ht="21" customHeight="1">
      <c r="A230" s="96">
        <v>610200</v>
      </c>
      <c r="B230" s="97" t="s">
        <v>399</v>
      </c>
      <c r="C230" s="76"/>
      <c r="D230" s="76"/>
      <c r="E230" s="76"/>
      <c r="F230" s="76"/>
      <c r="G230" s="76"/>
      <c r="H230" s="76">
        <f>2000+636000+305000+12000</f>
        <v>955000</v>
      </c>
      <c r="I230" s="76"/>
      <c r="J230" s="76"/>
      <c r="K230" s="76"/>
      <c r="L230" s="76"/>
      <c r="M230" s="76"/>
      <c r="N230" s="76"/>
      <c r="O230" s="165"/>
      <c r="P230" s="165"/>
      <c r="Q230" s="165"/>
      <c r="R230" s="76"/>
      <c r="S230" s="76"/>
      <c r="T230" s="76"/>
      <c r="U230" s="76"/>
      <c r="V230" s="76"/>
      <c r="W230" s="76"/>
      <c r="X230" s="76"/>
      <c r="Y230" s="95">
        <f t="shared" ref="Y230" si="87">SUM(C230:X230)</f>
        <v>955000</v>
      </c>
    </row>
    <row r="231" spans="1:26" ht="21" customHeight="1">
      <c r="A231" s="96">
        <v>610300</v>
      </c>
      <c r="B231" s="97" t="s">
        <v>400</v>
      </c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165"/>
      <c r="P231" s="165"/>
      <c r="Q231" s="165"/>
      <c r="R231" s="76"/>
      <c r="S231" s="76"/>
      <c r="T231" s="76"/>
      <c r="U231" s="76"/>
      <c r="V231" s="76"/>
      <c r="W231" s="76"/>
      <c r="X231" s="76"/>
      <c r="Y231" s="95">
        <f>SUM(C231:X231)</f>
        <v>0</v>
      </c>
    </row>
    <row r="232" spans="1:26" ht="21" customHeight="1">
      <c r="A232" s="96">
        <v>610400</v>
      </c>
      <c r="B232" s="97" t="s">
        <v>401</v>
      </c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165"/>
      <c r="P232" s="165"/>
      <c r="Q232" s="165"/>
      <c r="R232" s="76"/>
      <c r="S232" s="76"/>
      <c r="T232" s="76"/>
      <c r="U232" s="76"/>
      <c r="V232" s="76"/>
      <c r="W232" s="76"/>
      <c r="X232" s="76"/>
      <c r="Y232" s="95">
        <f t="shared" ref="Y232" si="88">SUM(C232:X232)</f>
        <v>0</v>
      </c>
    </row>
    <row r="233" spans="1:26" ht="21" customHeight="1">
      <c r="A233" s="426" t="s">
        <v>174</v>
      </c>
      <c r="B233" s="427"/>
      <c r="C233" s="95">
        <f t="shared" ref="C233:K233" si="89">SUM(C229:C232)</f>
        <v>20000</v>
      </c>
      <c r="D233" s="95">
        <f t="shared" si="89"/>
        <v>0</v>
      </c>
      <c r="E233" s="95">
        <f t="shared" si="89"/>
        <v>0</v>
      </c>
      <c r="F233" s="95">
        <f t="shared" si="89"/>
        <v>0</v>
      </c>
      <c r="G233" s="95">
        <f t="shared" si="89"/>
        <v>0</v>
      </c>
      <c r="H233" s="95">
        <f t="shared" si="89"/>
        <v>955000</v>
      </c>
      <c r="I233" s="95">
        <f t="shared" si="89"/>
        <v>0</v>
      </c>
      <c r="J233" s="95">
        <f t="shared" si="89"/>
        <v>0</v>
      </c>
      <c r="K233" s="95">
        <f t="shared" si="89"/>
        <v>0</v>
      </c>
      <c r="L233" s="95">
        <f>SUM(L229:L232)</f>
        <v>0</v>
      </c>
      <c r="M233" s="95">
        <f t="shared" ref="M233:W233" si="90">SUM(M229:M232)</f>
        <v>0</v>
      </c>
      <c r="N233" s="95">
        <f t="shared" si="90"/>
        <v>0</v>
      </c>
      <c r="O233" s="95">
        <f t="shared" si="90"/>
        <v>0</v>
      </c>
      <c r="P233" s="95">
        <f t="shared" si="90"/>
        <v>0</v>
      </c>
      <c r="Q233" s="95">
        <f t="shared" si="90"/>
        <v>0</v>
      </c>
      <c r="R233" s="95">
        <f t="shared" si="90"/>
        <v>0</v>
      </c>
      <c r="S233" s="95">
        <f t="shared" si="90"/>
        <v>0</v>
      </c>
      <c r="T233" s="95">
        <f t="shared" si="90"/>
        <v>0</v>
      </c>
      <c r="U233" s="95">
        <f t="shared" si="90"/>
        <v>0</v>
      </c>
      <c r="V233" s="95">
        <f t="shared" si="90"/>
        <v>0</v>
      </c>
      <c r="W233" s="95">
        <f t="shared" si="90"/>
        <v>0</v>
      </c>
      <c r="X233" s="95">
        <f>SUM(X229:X232)</f>
        <v>0</v>
      </c>
      <c r="Y233" s="95">
        <f t="shared" ref="Y233" si="91">SUM(Y229:Y232)</f>
        <v>975000</v>
      </c>
    </row>
    <row r="234" spans="1:26" ht="21" customHeight="1">
      <c r="A234" s="428" t="s">
        <v>175</v>
      </c>
      <c r="B234" s="429"/>
      <c r="C234" s="99">
        <f>+C233+C116</f>
        <v>20000</v>
      </c>
      <c r="D234" s="99">
        <f t="shared" ref="D234:Y234" si="92">+D233+D116</f>
        <v>0</v>
      </c>
      <c r="E234" s="99">
        <f t="shared" si="92"/>
        <v>0</v>
      </c>
      <c r="F234" s="99">
        <f t="shared" si="92"/>
        <v>0</v>
      </c>
      <c r="G234" s="99">
        <f t="shared" si="92"/>
        <v>0</v>
      </c>
      <c r="H234" s="99">
        <f t="shared" si="92"/>
        <v>955000</v>
      </c>
      <c r="I234" s="99">
        <f t="shared" si="92"/>
        <v>0</v>
      </c>
      <c r="J234" s="99">
        <f t="shared" si="92"/>
        <v>0</v>
      </c>
      <c r="K234" s="99">
        <f t="shared" si="92"/>
        <v>0</v>
      </c>
      <c r="L234" s="99">
        <f t="shared" si="92"/>
        <v>0</v>
      </c>
      <c r="M234" s="99">
        <f t="shared" si="92"/>
        <v>0</v>
      </c>
      <c r="N234" s="99">
        <f t="shared" si="92"/>
        <v>0</v>
      </c>
      <c r="O234" s="99">
        <f t="shared" si="92"/>
        <v>0</v>
      </c>
      <c r="P234" s="99">
        <f t="shared" si="92"/>
        <v>0</v>
      </c>
      <c r="Q234" s="99">
        <f t="shared" si="92"/>
        <v>0</v>
      </c>
      <c r="R234" s="99">
        <f t="shared" si="92"/>
        <v>0</v>
      </c>
      <c r="S234" s="99">
        <f t="shared" si="92"/>
        <v>7000</v>
      </c>
      <c r="T234" s="99">
        <f t="shared" si="92"/>
        <v>0</v>
      </c>
      <c r="U234" s="99">
        <f t="shared" si="92"/>
        <v>0</v>
      </c>
      <c r="V234" s="99">
        <f t="shared" si="92"/>
        <v>0</v>
      </c>
      <c r="W234" s="99">
        <f t="shared" si="92"/>
        <v>0</v>
      </c>
      <c r="X234" s="99">
        <f t="shared" si="92"/>
        <v>0</v>
      </c>
      <c r="Y234" s="99">
        <f t="shared" si="92"/>
        <v>982000</v>
      </c>
    </row>
    <row r="235" spans="1:26" ht="21" customHeight="1">
      <c r="A235" s="430" t="s">
        <v>174</v>
      </c>
      <c r="B235" s="431"/>
      <c r="C235" s="44">
        <f t="shared" ref="C235:X235" si="93">SUM(C135,C143,C155,C164,C171,C190,C197,C214,C222,C226,C233)</f>
        <v>728930.09</v>
      </c>
      <c r="D235" s="44">
        <f t="shared" si="93"/>
        <v>150342.35999999999</v>
      </c>
      <c r="E235" s="44">
        <f t="shared" si="93"/>
        <v>36480</v>
      </c>
      <c r="F235" s="44">
        <f t="shared" si="93"/>
        <v>0</v>
      </c>
      <c r="G235" s="44">
        <f t="shared" si="93"/>
        <v>90568</v>
      </c>
      <c r="H235" s="44">
        <f t="shared" si="93"/>
        <v>1165000</v>
      </c>
      <c r="I235" s="44">
        <f t="shared" si="93"/>
        <v>29210</v>
      </c>
      <c r="J235" s="44">
        <f t="shared" si="93"/>
        <v>14390</v>
      </c>
      <c r="K235" s="44">
        <f t="shared" si="93"/>
        <v>0</v>
      </c>
      <c r="L235" s="44">
        <f t="shared" si="93"/>
        <v>102245.04</v>
      </c>
      <c r="M235" s="44">
        <f t="shared" si="93"/>
        <v>19041.3</v>
      </c>
      <c r="N235" s="44">
        <f t="shared" si="93"/>
        <v>74241.91</v>
      </c>
      <c r="O235" s="44">
        <f t="shared" si="93"/>
        <v>0</v>
      </c>
      <c r="P235" s="44">
        <f t="shared" si="93"/>
        <v>54030</v>
      </c>
      <c r="Q235" s="44">
        <f t="shared" si="93"/>
        <v>0</v>
      </c>
      <c r="R235" s="44">
        <f t="shared" si="93"/>
        <v>0</v>
      </c>
      <c r="S235" s="44">
        <f t="shared" si="93"/>
        <v>8000</v>
      </c>
      <c r="T235" s="44">
        <f t="shared" si="93"/>
        <v>0</v>
      </c>
      <c r="U235" s="44">
        <f t="shared" si="93"/>
        <v>0</v>
      </c>
      <c r="V235" s="44">
        <f t="shared" si="93"/>
        <v>0</v>
      </c>
      <c r="W235" s="44">
        <f t="shared" si="93"/>
        <v>65658.679999999993</v>
      </c>
      <c r="X235" s="44">
        <f t="shared" si="93"/>
        <v>21083</v>
      </c>
      <c r="Y235" s="44">
        <f>SUM(C235:X235)</f>
        <v>2559220.3800000004</v>
      </c>
    </row>
    <row r="236" spans="1:26" ht="21" customHeight="1">
      <c r="A236" s="430" t="s">
        <v>175</v>
      </c>
      <c r="B236" s="431"/>
      <c r="C236" s="44">
        <f t="shared" ref="C236:X236" si="94">SUM(C136,C144,C156,C165,C172,C191,C198,C215,C223,C227,C234)</f>
        <v>1346807.81</v>
      </c>
      <c r="D236" s="44">
        <f t="shared" si="94"/>
        <v>292343.96999999997</v>
      </c>
      <c r="E236" s="44">
        <f t="shared" si="94"/>
        <v>69760</v>
      </c>
      <c r="F236" s="44">
        <f t="shared" si="94"/>
        <v>0</v>
      </c>
      <c r="G236" s="44">
        <f t="shared" si="94"/>
        <v>159038</v>
      </c>
      <c r="H236" s="44">
        <f t="shared" si="94"/>
        <v>1165000</v>
      </c>
      <c r="I236" s="44">
        <f t="shared" si="94"/>
        <v>68620</v>
      </c>
      <c r="J236" s="44">
        <f t="shared" si="94"/>
        <v>14390</v>
      </c>
      <c r="K236" s="44">
        <f t="shared" si="94"/>
        <v>0</v>
      </c>
      <c r="L236" s="44">
        <f t="shared" si="94"/>
        <v>222144.04</v>
      </c>
      <c r="M236" s="44">
        <f t="shared" si="94"/>
        <v>19041.3</v>
      </c>
      <c r="N236" s="44">
        <f t="shared" si="94"/>
        <v>94358.16</v>
      </c>
      <c r="O236" s="44">
        <f t="shared" si="94"/>
        <v>0</v>
      </c>
      <c r="P236" s="44">
        <f t="shared" si="94"/>
        <v>109001</v>
      </c>
      <c r="Q236" s="44">
        <f t="shared" si="94"/>
        <v>0</v>
      </c>
      <c r="R236" s="44">
        <f t="shared" si="94"/>
        <v>12200</v>
      </c>
      <c r="S236" s="44">
        <f t="shared" si="94"/>
        <v>15000</v>
      </c>
      <c r="T236" s="44">
        <f t="shared" si="94"/>
        <v>0</v>
      </c>
      <c r="U236" s="44">
        <f t="shared" si="94"/>
        <v>0</v>
      </c>
      <c r="V236" s="44">
        <f t="shared" si="94"/>
        <v>0</v>
      </c>
      <c r="W236" s="44">
        <f t="shared" si="94"/>
        <v>112554.03</v>
      </c>
      <c r="X236" s="44">
        <f t="shared" si="94"/>
        <v>42933</v>
      </c>
      <c r="Y236" s="44">
        <f>SUM(C236:X236)</f>
        <v>3743191.31</v>
      </c>
      <c r="Z236" s="91">
        <f>+Y118</f>
        <v>1183970.9300000002</v>
      </c>
    </row>
    <row r="237" spans="1:26" ht="21" customHeight="1">
      <c r="A237" s="440" t="s">
        <v>253</v>
      </c>
      <c r="B237" s="440"/>
      <c r="C237" s="440"/>
      <c r="D237" s="440"/>
      <c r="E237" s="440"/>
      <c r="F237" s="440"/>
      <c r="G237" s="440"/>
      <c r="H237" s="440"/>
      <c r="I237" s="440"/>
      <c r="J237" s="440"/>
      <c r="K237" s="440"/>
      <c r="L237" s="440"/>
      <c r="M237" s="440"/>
      <c r="N237" s="440"/>
      <c r="O237" s="341"/>
      <c r="P237" s="441" t="str">
        <f>+A237</f>
        <v>เทศบาลตำบลเขาพระ อำเภอพิปูน จังหวัดนครศรีธรรมราช</v>
      </c>
      <c r="Q237" s="441"/>
      <c r="R237" s="441"/>
      <c r="S237" s="441"/>
      <c r="T237" s="441"/>
      <c r="U237" s="441"/>
      <c r="V237" s="441"/>
      <c r="W237" s="441"/>
      <c r="X237" s="441"/>
      <c r="Y237" s="441"/>
      <c r="Z237" s="91">
        <f>+Z236+Y235</f>
        <v>3743191.3100000005</v>
      </c>
    </row>
    <row r="238" spans="1:26" ht="21" customHeight="1">
      <c r="A238" s="440" t="s">
        <v>384</v>
      </c>
      <c r="B238" s="440"/>
      <c r="C238" s="440"/>
      <c r="D238" s="440"/>
      <c r="E238" s="440"/>
      <c r="F238" s="440"/>
      <c r="G238" s="440"/>
      <c r="H238" s="440"/>
      <c r="I238" s="440"/>
      <c r="J238" s="440"/>
      <c r="K238" s="440"/>
      <c r="L238" s="440"/>
      <c r="M238" s="440"/>
      <c r="N238" s="440"/>
      <c r="O238" s="341"/>
      <c r="P238" s="442" t="s">
        <v>384</v>
      </c>
      <c r="Q238" s="442"/>
      <c r="R238" s="442"/>
      <c r="S238" s="442"/>
      <c r="T238" s="442"/>
      <c r="U238" s="442"/>
      <c r="V238" s="442"/>
      <c r="W238" s="442"/>
      <c r="X238" s="442"/>
      <c r="Y238" s="442"/>
    </row>
    <row r="239" spans="1:26" ht="21" customHeight="1">
      <c r="A239" s="443" t="s">
        <v>421</v>
      </c>
      <c r="B239" s="443"/>
      <c r="C239" s="443"/>
      <c r="D239" s="443"/>
      <c r="E239" s="443"/>
      <c r="F239" s="443"/>
      <c r="G239" s="443"/>
      <c r="H239" s="443"/>
      <c r="I239" s="443"/>
      <c r="J239" s="443"/>
      <c r="K239" s="443"/>
      <c r="L239" s="443"/>
      <c r="M239" s="443"/>
      <c r="N239" s="443"/>
      <c r="O239" s="342"/>
      <c r="P239" s="444" t="s">
        <v>421</v>
      </c>
      <c r="Q239" s="444"/>
      <c r="R239" s="444"/>
      <c r="S239" s="444"/>
      <c r="T239" s="444"/>
      <c r="U239" s="444"/>
      <c r="V239" s="444"/>
      <c r="W239" s="444"/>
      <c r="X239" s="444"/>
      <c r="Y239" s="444"/>
    </row>
    <row r="240" spans="1:26" ht="21" customHeight="1">
      <c r="A240" s="435" t="s">
        <v>139</v>
      </c>
      <c r="B240" s="435"/>
      <c r="C240" s="434" t="s">
        <v>141</v>
      </c>
      <c r="D240" s="434"/>
      <c r="E240" s="437" t="s">
        <v>144</v>
      </c>
      <c r="F240" s="438"/>
      <c r="G240" s="434" t="s">
        <v>146</v>
      </c>
      <c r="H240" s="435"/>
      <c r="I240" s="437" t="s">
        <v>160</v>
      </c>
      <c r="J240" s="438"/>
      <c r="K240" s="339" t="s">
        <v>161</v>
      </c>
      <c r="L240" s="437" t="s">
        <v>162</v>
      </c>
      <c r="M240" s="439"/>
      <c r="N240" s="439"/>
      <c r="O240" s="438"/>
      <c r="P240" s="437" t="s">
        <v>163</v>
      </c>
      <c r="Q240" s="438"/>
      <c r="R240" s="437" t="s">
        <v>164</v>
      </c>
      <c r="S240" s="439"/>
      <c r="T240" s="438"/>
      <c r="U240" s="434" t="s">
        <v>165</v>
      </c>
      <c r="V240" s="435"/>
      <c r="W240" s="339" t="s">
        <v>212</v>
      </c>
      <c r="X240" s="339" t="s">
        <v>166</v>
      </c>
      <c r="Y240" s="436" t="s">
        <v>17</v>
      </c>
    </row>
    <row r="241" spans="1:26" ht="21" customHeight="1">
      <c r="A241" s="435" t="s">
        <v>140</v>
      </c>
      <c r="B241" s="435"/>
      <c r="C241" s="370" t="s">
        <v>142</v>
      </c>
      <c r="D241" s="339" t="s">
        <v>143</v>
      </c>
      <c r="E241" s="339" t="s">
        <v>145</v>
      </c>
      <c r="F241" s="339" t="s">
        <v>214</v>
      </c>
      <c r="G241" s="339" t="s">
        <v>147</v>
      </c>
      <c r="H241" s="339" t="s">
        <v>148</v>
      </c>
      <c r="I241" s="339" t="s">
        <v>149</v>
      </c>
      <c r="J241" s="339" t="s">
        <v>150</v>
      </c>
      <c r="K241" s="339" t="s">
        <v>151</v>
      </c>
      <c r="L241" s="339" t="s">
        <v>152</v>
      </c>
      <c r="M241" s="339" t="s">
        <v>153</v>
      </c>
      <c r="N241" s="339" t="s">
        <v>238</v>
      </c>
      <c r="O241" s="339" t="s">
        <v>331</v>
      </c>
      <c r="P241" s="340" t="s">
        <v>303</v>
      </c>
      <c r="Q241" s="340" t="s">
        <v>154</v>
      </c>
      <c r="R241" s="339" t="s">
        <v>155</v>
      </c>
      <c r="S241" s="339" t="s">
        <v>156</v>
      </c>
      <c r="T241" s="339" t="s">
        <v>216</v>
      </c>
      <c r="U241" s="339" t="s">
        <v>157</v>
      </c>
      <c r="V241" s="339" t="s">
        <v>158</v>
      </c>
      <c r="W241" s="339" t="s">
        <v>213</v>
      </c>
      <c r="X241" s="339" t="s">
        <v>159</v>
      </c>
      <c r="Y241" s="436"/>
    </row>
    <row r="242" spans="1:26" ht="21" customHeight="1">
      <c r="A242" s="432" t="s">
        <v>385</v>
      </c>
      <c r="B242" s="433"/>
      <c r="C242" s="92"/>
      <c r="D242" s="92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163"/>
      <c r="P242" s="163"/>
      <c r="Q242" s="163"/>
      <c r="R242" s="92"/>
      <c r="S242" s="92"/>
      <c r="T242" s="92"/>
      <c r="U242" s="92"/>
      <c r="V242" s="92"/>
      <c r="W242" s="92"/>
      <c r="X242" s="92"/>
      <c r="Y242" s="92"/>
    </row>
    <row r="243" spans="1:26" ht="21" customHeight="1">
      <c r="A243" s="314">
        <v>110100</v>
      </c>
      <c r="B243" s="311" t="s">
        <v>342</v>
      </c>
      <c r="C243" s="312"/>
      <c r="D243" s="312"/>
      <c r="E243" s="312"/>
      <c r="F243" s="312"/>
      <c r="G243" s="312"/>
      <c r="H243" s="312"/>
      <c r="I243" s="312"/>
      <c r="J243" s="312"/>
      <c r="K243" s="312"/>
      <c r="L243" s="312"/>
      <c r="M243" s="312"/>
      <c r="N243" s="312"/>
      <c r="O243" s="313"/>
      <c r="P243" s="313"/>
      <c r="Q243" s="313"/>
      <c r="R243" s="312"/>
      <c r="S243" s="312"/>
      <c r="T243" s="312"/>
      <c r="U243" s="312"/>
      <c r="V243" s="312"/>
      <c r="W243" s="312"/>
      <c r="X243" s="312"/>
      <c r="Y243" s="95">
        <f>SUM(C243:X243)</f>
        <v>0</v>
      </c>
    </row>
    <row r="244" spans="1:26" ht="21" customHeight="1">
      <c r="A244" s="314">
        <v>110200</v>
      </c>
      <c r="B244" s="311" t="s">
        <v>329</v>
      </c>
      <c r="C244" s="312"/>
      <c r="D244" s="312"/>
      <c r="E244" s="312"/>
      <c r="F244" s="312"/>
      <c r="G244" s="312"/>
      <c r="H244" s="312"/>
      <c r="I244" s="312"/>
      <c r="J244" s="312"/>
      <c r="K244" s="312"/>
      <c r="L244" s="312"/>
      <c r="M244" s="312"/>
      <c r="N244" s="312"/>
      <c r="O244" s="313"/>
      <c r="P244" s="313"/>
      <c r="Q244" s="313"/>
      <c r="R244" s="312"/>
      <c r="S244" s="312"/>
      <c r="T244" s="312"/>
      <c r="U244" s="312"/>
      <c r="V244" s="312"/>
      <c r="W244" s="312"/>
      <c r="X244" s="312"/>
      <c r="Y244" s="95">
        <f t="shared" ref="Y244" si="95">SUM(C244:X244)</f>
        <v>0</v>
      </c>
    </row>
    <row r="245" spans="1:26" ht="21" customHeight="1">
      <c r="A245" s="93">
        <v>110300</v>
      </c>
      <c r="B245" s="94" t="s">
        <v>167</v>
      </c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164"/>
      <c r="P245" s="164"/>
      <c r="Q245" s="164"/>
      <c r="R245" s="70"/>
      <c r="S245" s="70"/>
      <c r="T245" s="70"/>
      <c r="U245" s="70"/>
      <c r="V245" s="70"/>
      <c r="W245" s="70"/>
      <c r="X245" s="70">
        <f>12932+651</f>
        <v>13583</v>
      </c>
      <c r="Y245" s="95">
        <f>SUM(C245:X245)</f>
        <v>13583</v>
      </c>
    </row>
    <row r="246" spans="1:26" ht="21" customHeight="1">
      <c r="A246" s="93">
        <v>110700</v>
      </c>
      <c r="B246" s="94" t="s">
        <v>101</v>
      </c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164"/>
      <c r="P246" s="164"/>
      <c r="Q246" s="164"/>
      <c r="R246" s="70"/>
      <c r="S246" s="70"/>
      <c r="T246" s="70"/>
      <c r="U246" s="70"/>
      <c r="V246" s="70"/>
      <c r="W246" s="70"/>
      <c r="X246" s="70"/>
      <c r="Y246" s="95">
        <f t="shared" ref="Y246:Y251" si="96">SUM(C246:X246)</f>
        <v>0</v>
      </c>
    </row>
    <row r="247" spans="1:26" ht="21" customHeight="1">
      <c r="A247" s="93">
        <v>110800</v>
      </c>
      <c r="B247" s="94" t="s">
        <v>105</v>
      </c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164"/>
      <c r="P247" s="164"/>
      <c r="Q247" s="164"/>
      <c r="R247" s="70"/>
      <c r="S247" s="70"/>
      <c r="T247" s="70"/>
      <c r="U247" s="70"/>
      <c r="V247" s="70"/>
      <c r="W247" s="70"/>
      <c r="X247" s="70"/>
      <c r="Y247" s="95">
        <f t="shared" si="96"/>
        <v>0</v>
      </c>
    </row>
    <row r="248" spans="1:26" ht="21" customHeight="1">
      <c r="A248" s="93">
        <v>110900</v>
      </c>
      <c r="B248" s="94" t="s">
        <v>106</v>
      </c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164"/>
      <c r="P248" s="164"/>
      <c r="Q248" s="164"/>
      <c r="R248" s="70"/>
      <c r="S248" s="70"/>
      <c r="T248" s="70"/>
      <c r="U248" s="70"/>
      <c r="V248" s="70"/>
      <c r="W248" s="70"/>
      <c r="X248" s="70">
        <v>8500</v>
      </c>
      <c r="Y248" s="95">
        <f t="shared" si="96"/>
        <v>8500</v>
      </c>
    </row>
    <row r="249" spans="1:26" ht="21" customHeight="1">
      <c r="A249" s="93">
        <v>111000</v>
      </c>
      <c r="B249" s="94" t="s">
        <v>107</v>
      </c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164"/>
      <c r="P249" s="164"/>
      <c r="Q249" s="164"/>
      <c r="R249" s="70"/>
      <c r="S249" s="70"/>
      <c r="T249" s="70"/>
      <c r="U249" s="70"/>
      <c r="V249" s="70"/>
      <c r="W249" s="70"/>
      <c r="X249" s="70">
        <v>20648</v>
      </c>
      <c r="Y249" s="95">
        <f t="shared" si="96"/>
        <v>20648</v>
      </c>
    </row>
    <row r="250" spans="1:26" ht="21" customHeight="1">
      <c r="A250" s="93">
        <v>111100</v>
      </c>
      <c r="B250" s="94" t="s">
        <v>330</v>
      </c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164"/>
      <c r="P250" s="164"/>
      <c r="Q250" s="164"/>
      <c r="R250" s="70"/>
      <c r="S250" s="70"/>
      <c r="T250" s="70"/>
      <c r="U250" s="70"/>
      <c r="V250" s="70"/>
      <c r="W250" s="70"/>
      <c r="X250" s="70"/>
      <c r="Y250" s="95">
        <f t="shared" si="96"/>
        <v>0</v>
      </c>
    </row>
    <row r="251" spans="1:26" ht="21" customHeight="1">
      <c r="A251" s="93">
        <v>111100</v>
      </c>
      <c r="B251" s="94" t="s">
        <v>297</v>
      </c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164"/>
      <c r="P251" s="164"/>
      <c r="Q251" s="164"/>
      <c r="R251" s="70"/>
      <c r="S251" s="70"/>
      <c r="T251" s="70"/>
      <c r="U251" s="70"/>
      <c r="V251" s="70"/>
      <c r="W251" s="70"/>
      <c r="X251" s="70"/>
      <c r="Y251" s="95">
        <f t="shared" si="96"/>
        <v>0</v>
      </c>
    </row>
    <row r="252" spans="1:26" ht="21" customHeight="1">
      <c r="A252" s="96">
        <v>120100</v>
      </c>
      <c r="B252" s="97" t="s">
        <v>168</v>
      </c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165"/>
      <c r="P252" s="165"/>
      <c r="Q252" s="165"/>
      <c r="R252" s="76"/>
      <c r="S252" s="76"/>
      <c r="T252" s="76"/>
      <c r="U252" s="76"/>
      <c r="V252" s="76"/>
      <c r="W252" s="76"/>
      <c r="X252" s="76">
        <v>344434</v>
      </c>
      <c r="Y252" s="98">
        <f>SUM(C252:X252)</f>
        <v>344434</v>
      </c>
    </row>
    <row r="253" spans="1:26" ht="21" customHeight="1">
      <c r="A253" s="426" t="s">
        <v>174</v>
      </c>
      <c r="B253" s="427"/>
      <c r="C253" s="95">
        <f>SUM(C243:C252)</f>
        <v>0</v>
      </c>
      <c r="D253" s="95">
        <f t="shared" ref="D253:W253" si="97">SUM(D243:D252)</f>
        <v>0</v>
      </c>
      <c r="E253" s="95">
        <f t="shared" si="97"/>
        <v>0</v>
      </c>
      <c r="F253" s="95">
        <f t="shared" si="97"/>
        <v>0</v>
      </c>
      <c r="G253" s="95">
        <f t="shared" si="97"/>
        <v>0</v>
      </c>
      <c r="H253" s="95">
        <f t="shared" si="97"/>
        <v>0</v>
      </c>
      <c r="I253" s="95">
        <f t="shared" si="97"/>
        <v>0</v>
      </c>
      <c r="J253" s="95">
        <f t="shared" si="97"/>
        <v>0</v>
      </c>
      <c r="K253" s="95">
        <f t="shared" si="97"/>
        <v>0</v>
      </c>
      <c r="L253" s="95">
        <f t="shared" si="97"/>
        <v>0</v>
      </c>
      <c r="M253" s="95">
        <f t="shared" si="97"/>
        <v>0</v>
      </c>
      <c r="N253" s="95">
        <f t="shared" si="97"/>
        <v>0</v>
      </c>
      <c r="O253" s="95">
        <f t="shared" si="97"/>
        <v>0</v>
      </c>
      <c r="P253" s="95">
        <f t="shared" si="97"/>
        <v>0</v>
      </c>
      <c r="Q253" s="95">
        <f t="shared" si="97"/>
        <v>0</v>
      </c>
      <c r="R253" s="95">
        <f t="shared" si="97"/>
        <v>0</v>
      </c>
      <c r="S253" s="95">
        <f t="shared" si="97"/>
        <v>0</v>
      </c>
      <c r="T253" s="95">
        <f t="shared" si="97"/>
        <v>0</v>
      </c>
      <c r="U253" s="95">
        <f t="shared" si="97"/>
        <v>0</v>
      </c>
      <c r="V253" s="95">
        <f t="shared" si="97"/>
        <v>0</v>
      </c>
      <c r="W253" s="95">
        <f t="shared" si="97"/>
        <v>0</v>
      </c>
      <c r="X253" s="95">
        <f>SUM(X243:X252)</f>
        <v>387165</v>
      </c>
      <c r="Y253" s="95">
        <f>SUM(C253:X253)</f>
        <v>387165</v>
      </c>
    </row>
    <row r="254" spans="1:26" ht="21" customHeight="1">
      <c r="A254" s="428" t="s">
        <v>175</v>
      </c>
      <c r="B254" s="429"/>
      <c r="C254" s="99">
        <f>+C253+C135</f>
        <v>0</v>
      </c>
      <c r="D254" s="99">
        <f t="shared" ref="D254:W254" si="98">+D253+D135</f>
        <v>0</v>
      </c>
      <c r="E254" s="99">
        <f t="shared" si="98"/>
        <v>0</v>
      </c>
      <c r="F254" s="99">
        <f t="shared" si="98"/>
        <v>0</v>
      </c>
      <c r="G254" s="99">
        <f t="shared" si="98"/>
        <v>0</v>
      </c>
      <c r="H254" s="99">
        <f t="shared" si="98"/>
        <v>0</v>
      </c>
      <c r="I254" s="99">
        <f t="shared" si="98"/>
        <v>0</v>
      </c>
      <c r="J254" s="99">
        <f t="shared" si="98"/>
        <v>0</v>
      </c>
      <c r="K254" s="99">
        <f t="shared" si="98"/>
        <v>0</v>
      </c>
      <c r="L254" s="99">
        <f t="shared" si="98"/>
        <v>0</v>
      </c>
      <c r="M254" s="99">
        <f t="shared" si="98"/>
        <v>0</v>
      </c>
      <c r="N254" s="99">
        <f t="shared" si="98"/>
        <v>0</v>
      </c>
      <c r="O254" s="99">
        <f t="shared" si="98"/>
        <v>0</v>
      </c>
      <c r="P254" s="99">
        <f t="shared" si="98"/>
        <v>0</v>
      </c>
      <c r="Q254" s="99">
        <f t="shared" si="98"/>
        <v>0</v>
      </c>
      <c r="R254" s="99">
        <f t="shared" si="98"/>
        <v>0</v>
      </c>
      <c r="S254" s="99">
        <f t="shared" si="98"/>
        <v>0</v>
      </c>
      <c r="T254" s="99">
        <f t="shared" si="98"/>
        <v>0</v>
      </c>
      <c r="U254" s="99">
        <f t="shared" si="98"/>
        <v>0</v>
      </c>
      <c r="V254" s="99">
        <f t="shared" si="98"/>
        <v>0</v>
      </c>
      <c r="W254" s="99">
        <f t="shared" si="98"/>
        <v>0</v>
      </c>
      <c r="X254" s="99">
        <f>+X253+X136</f>
        <v>430098</v>
      </c>
      <c r="Y254" s="99">
        <f>+Y253+Y136</f>
        <v>430098</v>
      </c>
      <c r="Z254" s="91">
        <f>430098-Y254</f>
        <v>0</v>
      </c>
    </row>
    <row r="255" spans="1:26" ht="21" customHeight="1">
      <c r="A255" s="432" t="s">
        <v>386</v>
      </c>
      <c r="B255" s="433"/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67"/>
      <c r="P255" s="167"/>
      <c r="Q255" s="167"/>
      <c r="R255" s="100"/>
      <c r="S255" s="100"/>
      <c r="T255" s="100"/>
      <c r="U255" s="100"/>
      <c r="V255" s="100"/>
      <c r="W255" s="100"/>
      <c r="X255" s="100"/>
      <c r="Y255" s="101">
        <f t="shared" ref="Y255:Y260" si="99">SUM(C255:X255)</f>
        <v>0</v>
      </c>
    </row>
    <row r="256" spans="1:26" ht="21" customHeight="1">
      <c r="A256" s="93">
        <v>210100</v>
      </c>
      <c r="B256" s="68" t="s">
        <v>169</v>
      </c>
      <c r="C256" s="70">
        <v>57960</v>
      </c>
      <c r="D256" s="70">
        <v>0</v>
      </c>
      <c r="E256" s="70"/>
      <c r="F256" s="70"/>
      <c r="G256" s="70"/>
      <c r="H256" s="70"/>
      <c r="I256" s="70"/>
      <c r="J256" s="70"/>
      <c r="K256" s="70"/>
      <c r="L256" s="70">
        <v>0</v>
      </c>
      <c r="M256" s="70"/>
      <c r="N256" s="70"/>
      <c r="O256" s="164"/>
      <c r="P256" s="164"/>
      <c r="Q256" s="164"/>
      <c r="R256" s="70"/>
      <c r="S256" s="70"/>
      <c r="T256" s="70"/>
      <c r="U256" s="70"/>
      <c r="V256" s="70"/>
      <c r="W256" s="70"/>
      <c r="X256" s="70"/>
      <c r="Y256" s="95">
        <f t="shared" si="99"/>
        <v>57960</v>
      </c>
    </row>
    <row r="257" spans="1:25" ht="21" customHeight="1">
      <c r="A257" s="93">
        <v>210200</v>
      </c>
      <c r="B257" s="68" t="s">
        <v>173</v>
      </c>
      <c r="C257" s="70">
        <v>10000</v>
      </c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164"/>
      <c r="P257" s="164"/>
      <c r="Q257" s="164"/>
      <c r="R257" s="70"/>
      <c r="S257" s="70"/>
      <c r="T257" s="70"/>
      <c r="U257" s="70"/>
      <c r="V257" s="70"/>
      <c r="W257" s="70"/>
      <c r="X257" s="70"/>
      <c r="Y257" s="95">
        <f t="shared" si="99"/>
        <v>10000</v>
      </c>
    </row>
    <row r="258" spans="1:25" ht="21" customHeight="1">
      <c r="A258" s="93">
        <v>210300</v>
      </c>
      <c r="B258" s="68" t="s">
        <v>170</v>
      </c>
      <c r="C258" s="70">
        <v>10000</v>
      </c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164"/>
      <c r="P258" s="164"/>
      <c r="Q258" s="164"/>
      <c r="R258" s="70"/>
      <c r="S258" s="70"/>
      <c r="T258" s="70"/>
      <c r="U258" s="70"/>
      <c r="V258" s="70"/>
      <c r="W258" s="70"/>
      <c r="X258" s="70"/>
      <c r="Y258" s="95">
        <f t="shared" si="99"/>
        <v>10000</v>
      </c>
    </row>
    <row r="259" spans="1:25" ht="21" customHeight="1">
      <c r="A259" s="93">
        <v>210400</v>
      </c>
      <c r="B259" s="68" t="s">
        <v>171</v>
      </c>
      <c r="C259" s="70">
        <v>16560</v>
      </c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164"/>
      <c r="P259" s="164"/>
      <c r="Q259" s="164"/>
      <c r="R259" s="70"/>
      <c r="S259" s="70"/>
      <c r="T259" s="70"/>
      <c r="U259" s="70"/>
      <c r="V259" s="70"/>
      <c r="W259" s="70"/>
      <c r="X259" s="70"/>
      <c r="Y259" s="95">
        <f t="shared" si="99"/>
        <v>16560</v>
      </c>
    </row>
    <row r="260" spans="1:25" ht="21" customHeight="1">
      <c r="A260" s="96">
        <v>210600</v>
      </c>
      <c r="B260" s="69" t="s">
        <v>172</v>
      </c>
      <c r="C260" s="70">
        <v>124200</v>
      </c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165"/>
      <c r="P260" s="165"/>
      <c r="Q260" s="165"/>
      <c r="R260" s="76"/>
      <c r="S260" s="76"/>
      <c r="T260" s="76"/>
      <c r="U260" s="76"/>
      <c r="V260" s="76"/>
      <c r="W260" s="76"/>
      <c r="X260" s="76"/>
      <c r="Y260" s="98">
        <f t="shared" si="99"/>
        <v>124200</v>
      </c>
    </row>
    <row r="261" spans="1:25" ht="21" customHeight="1">
      <c r="A261" s="426" t="s">
        <v>174</v>
      </c>
      <c r="B261" s="427"/>
      <c r="C261" s="95">
        <f>SUM(C256:C260)</f>
        <v>218720</v>
      </c>
      <c r="D261" s="95">
        <f>SUM(D255:D260)</f>
        <v>0</v>
      </c>
      <c r="E261" s="95">
        <f>SUM(E255:E260)</f>
        <v>0</v>
      </c>
      <c r="F261" s="95">
        <f t="shared" ref="F261:L261" si="100">SUM(F255:F260)</f>
        <v>0</v>
      </c>
      <c r="G261" s="95">
        <f t="shared" si="100"/>
        <v>0</v>
      </c>
      <c r="H261" s="95">
        <f t="shared" si="100"/>
        <v>0</v>
      </c>
      <c r="I261" s="95">
        <f t="shared" si="100"/>
        <v>0</v>
      </c>
      <c r="J261" s="95">
        <f t="shared" si="100"/>
        <v>0</v>
      </c>
      <c r="K261" s="95">
        <f t="shared" si="100"/>
        <v>0</v>
      </c>
      <c r="L261" s="95">
        <f t="shared" si="100"/>
        <v>0</v>
      </c>
      <c r="M261" s="95">
        <f>SUM(M255:M260)</f>
        <v>0</v>
      </c>
      <c r="N261" s="95">
        <f>SUM(N255:N260)</f>
        <v>0</v>
      </c>
      <c r="O261" s="95">
        <f>SUM(O255:O260)</f>
        <v>0</v>
      </c>
      <c r="P261" s="95">
        <f t="shared" ref="P261:Q261" si="101">SUM(P255:P260)</f>
        <v>0</v>
      </c>
      <c r="Q261" s="95">
        <f t="shared" si="101"/>
        <v>0</v>
      </c>
      <c r="R261" s="95">
        <f t="shared" ref="R261:X261" si="102">SUM(R255:R260)</f>
        <v>0</v>
      </c>
      <c r="S261" s="95">
        <f t="shared" si="102"/>
        <v>0</v>
      </c>
      <c r="T261" s="95">
        <f t="shared" si="102"/>
        <v>0</v>
      </c>
      <c r="U261" s="95">
        <f t="shared" si="102"/>
        <v>0</v>
      </c>
      <c r="V261" s="95">
        <f t="shared" si="102"/>
        <v>0</v>
      </c>
      <c r="W261" s="95">
        <f t="shared" si="102"/>
        <v>0</v>
      </c>
      <c r="X261" s="95">
        <f t="shared" si="102"/>
        <v>0</v>
      </c>
      <c r="Y261" s="95">
        <f>SUM(C261:X261)</f>
        <v>218720</v>
      </c>
    </row>
    <row r="262" spans="1:25" ht="21" customHeight="1">
      <c r="A262" s="428" t="s">
        <v>175</v>
      </c>
      <c r="B262" s="429"/>
      <c r="C262" s="95">
        <f>+C261+C144</f>
        <v>656160</v>
      </c>
      <c r="D262" s="95">
        <f t="shared" ref="D262:Y262" si="103">+D261+D144</f>
        <v>0</v>
      </c>
      <c r="E262" s="95">
        <f t="shared" si="103"/>
        <v>0</v>
      </c>
      <c r="F262" s="95">
        <f t="shared" si="103"/>
        <v>0</v>
      </c>
      <c r="G262" s="95">
        <f t="shared" si="103"/>
        <v>0</v>
      </c>
      <c r="H262" s="95">
        <f t="shared" si="103"/>
        <v>0</v>
      </c>
      <c r="I262" s="95">
        <f t="shared" si="103"/>
        <v>0</v>
      </c>
      <c r="J262" s="95">
        <f t="shared" si="103"/>
        <v>0</v>
      </c>
      <c r="K262" s="95">
        <f t="shared" si="103"/>
        <v>0</v>
      </c>
      <c r="L262" s="95">
        <f t="shared" si="103"/>
        <v>0</v>
      </c>
      <c r="M262" s="95">
        <f t="shared" si="103"/>
        <v>0</v>
      </c>
      <c r="N262" s="95">
        <f t="shared" si="103"/>
        <v>0</v>
      </c>
      <c r="O262" s="95">
        <f t="shared" si="103"/>
        <v>0</v>
      </c>
      <c r="P262" s="95">
        <f t="shared" si="103"/>
        <v>0</v>
      </c>
      <c r="Q262" s="95">
        <f t="shared" si="103"/>
        <v>0</v>
      </c>
      <c r="R262" s="95">
        <f t="shared" si="103"/>
        <v>0</v>
      </c>
      <c r="S262" s="95">
        <f t="shared" si="103"/>
        <v>0</v>
      </c>
      <c r="T262" s="95">
        <f t="shared" si="103"/>
        <v>0</v>
      </c>
      <c r="U262" s="95">
        <f t="shared" si="103"/>
        <v>0</v>
      </c>
      <c r="V262" s="95">
        <f t="shared" si="103"/>
        <v>0</v>
      </c>
      <c r="W262" s="95">
        <f t="shared" si="103"/>
        <v>0</v>
      </c>
      <c r="X262" s="95">
        <f t="shared" si="103"/>
        <v>0</v>
      </c>
      <c r="Y262" s="95">
        <f t="shared" si="103"/>
        <v>656160</v>
      </c>
    </row>
    <row r="263" spans="1:25" ht="21" customHeight="1">
      <c r="A263" s="432" t="s">
        <v>387</v>
      </c>
      <c r="B263" s="433"/>
      <c r="C263" s="100"/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67"/>
      <c r="P263" s="167"/>
      <c r="Q263" s="167"/>
      <c r="R263" s="100"/>
      <c r="S263" s="100"/>
      <c r="T263" s="100"/>
      <c r="U263" s="100"/>
      <c r="V263" s="100"/>
      <c r="W263" s="100"/>
      <c r="X263" s="100"/>
      <c r="Y263" s="101">
        <f t="shared" ref="Y263" si="104">SUM(C263:X263)</f>
        <v>0</v>
      </c>
    </row>
    <row r="264" spans="1:25" ht="21" customHeight="1">
      <c r="A264" s="93">
        <v>220100</v>
      </c>
      <c r="B264" s="68" t="s">
        <v>176</v>
      </c>
      <c r="C264" s="70">
        <v>159930</v>
      </c>
      <c r="D264" s="70">
        <v>66540</v>
      </c>
      <c r="E264" s="70">
        <v>21880</v>
      </c>
      <c r="F264" s="70"/>
      <c r="G264" s="70">
        <v>23370</v>
      </c>
      <c r="H264" s="70"/>
      <c r="I264" s="70"/>
      <c r="J264" s="70"/>
      <c r="K264" s="70"/>
      <c r="L264" s="70">
        <v>50950</v>
      </c>
      <c r="M264" s="70"/>
      <c r="N264" s="237"/>
      <c r="O264" s="268"/>
      <c r="P264" s="164">
        <v>18950</v>
      </c>
      <c r="Q264" s="164"/>
      <c r="R264" s="70"/>
      <c r="S264" s="70"/>
      <c r="T264" s="70"/>
      <c r="U264" s="70"/>
      <c r="V264" s="70"/>
      <c r="W264" s="70"/>
      <c r="X264" s="70"/>
      <c r="Y264" s="95">
        <f>SUM(C264:X264)</f>
        <v>341620</v>
      </c>
    </row>
    <row r="265" spans="1:25" ht="21" customHeight="1">
      <c r="A265" s="93">
        <v>220200</v>
      </c>
      <c r="B265" s="68" t="s">
        <v>177</v>
      </c>
      <c r="C265" s="70">
        <v>5600</v>
      </c>
      <c r="D265" s="70">
        <v>550</v>
      </c>
      <c r="E265" s="70"/>
      <c r="F265" s="70"/>
      <c r="G265" s="70"/>
      <c r="H265" s="70"/>
      <c r="I265" s="70"/>
      <c r="J265" s="70"/>
      <c r="K265" s="70"/>
      <c r="L265" s="70"/>
      <c r="M265" s="70"/>
      <c r="N265" s="238"/>
      <c r="O265" s="94"/>
      <c r="P265" s="164"/>
      <c r="Q265" s="164"/>
      <c r="R265" s="70"/>
      <c r="S265" s="70"/>
      <c r="T265" s="70"/>
      <c r="U265" s="70"/>
      <c r="V265" s="70"/>
      <c r="W265" s="70"/>
      <c r="X265" s="70"/>
      <c r="Y265" s="95">
        <f t="shared" ref="Y265:Y268" si="105">SUM(C265:X265)</f>
        <v>6150</v>
      </c>
    </row>
    <row r="266" spans="1:25" ht="21" customHeight="1">
      <c r="A266" s="93">
        <v>220300</v>
      </c>
      <c r="B266" s="68" t="s">
        <v>178</v>
      </c>
      <c r="C266" s="70">
        <v>9100</v>
      </c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238"/>
      <c r="O266" s="94"/>
      <c r="P266" s="164"/>
      <c r="Q266" s="164"/>
      <c r="R266" s="70"/>
      <c r="S266" s="70"/>
      <c r="T266" s="70"/>
      <c r="U266" s="70"/>
      <c r="V266" s="70"/>
      <c r="W266" s="70"/>
      <c r="X266" s="70"/>
      <c r="Y266" s="95">
        <f t="shared" si="105"/>
        <v>9100</v>
      </c>
    </row>
    <row r="267" spans="1:25" ht="21" customHeight="1">
      <c r="A267" s="93">
        <v>220500</v>
      </c>
      <c r="B267" s="68" t="s">
        <v>3</v>
      </c>
      <c r="C267" s="70"/>
      <c r="D267" s="70">
        <v>32710</v>
      </c>
      <c r="E267" s="70"/>
      <c r="F267" s="70"/>
      <c r="G267" s="70"/>
      <c r="H267" s="70"/>
      <c r="I267" s="70"/>
      <c r="J267" s="70"/>
      <c r="K267" s="70"/>
      <c r="L267" s="70"/>
      <c r="M267" s="70"/>
      <c r="N267" s="238"/>
      <c r="O267" s="94"/>
      <c r="P267" s="164"/>
      <c r="Q267" s="164"/>
      <c r="R267" s="70"/>
      <c r="S267" s="70"/>
      <c r="T267" s="70"/>
      <c r="U267" s="70"/>
      <c r="V267" s="70"/>
      <c r="W267" s="70"/>
      <c r="X267" s="70"/>
      <c r="Y267" s="95">
        <f t="shared" si="105"/>
        <v>32710</v>
      </c>
    </row>
    <row r="268" spans="1:25" ht="21" customHeight="1">
      <c r="A268" s="93">
        <v>220600</v>
      </c>
      <c r="B268" s="68" t="s">
        <v>179</v>
      </c>
      <c r="C268" s="70">
        <v>0</v>
      </c>
      <c r="D268" s="70">
        <v>0</v>
      </c>
      <c r="E268" s="70"/>
      <c r="F268" s="70"/>
      <c r="G268" s="70"/>
      <c r="H268" s="70"/>
      <c r="I268" s="70"/>
      <c r="J268" s="70"/>
      <c r="K268" s="70"/>
      <c r="L268" s="70">
        <v>0</v>
      </c>
      <c r="M268" s="70"/>
      <c r="N268" s="239"/>
      <c r="O268" s="165"/>
      <c r="P268" s="164"/>
      <c r="Q268" s="164"/>
      <c r="R268" s="70"/>
      <c r="S268" s="70"/>
      <c r="T268" s="70"/>
      <c r="U268" s="70"/>
      <c r="V268" s="70"/>
      <c r="W268" s="70"/>
      <c r="X268" s="70"/>
      <c r="Y268" s="95">
        <f t="shared" si="105"/>
        <v>0</v>
      </c>
    </row>
    <row r="269" spans="1:25" ht="21" customHeight="1">
      <c r="A269" s="435" t="s">
        <v>139</v>
      </c>
      <c r="B269" s="435"/>
      <c r="C269" s="434" t="s">
        <v>141</v>
      </c>
      <c r="D269" s="434"/>
      <c r="E269" s="437" t="s">
        <v>144</v>
      </c>
      <c r="F269" s="438"/>
      <c r="G269" s="434" t="s">
        <v>146</v>
      </c>
      <c r="H269" s="435"/>
      <c r="I269" s="437" t="s">
        <v>160</v>
      </c>
      <c r="J269" s="438"/>
      <c r="K269" s="339" t="s">
        <v>161</v>
      </c>
      <c r="L269" s="437" t="s">
        <v>162</v>
      </c>
      <c r="M269" s="439"/>
      <c r="N269" s="439"/>
      <c r="O269" s="438"/>
      <c r="P269" s="437" t="s">
        <v>163</v>
      </c>
      <c r="Q269" s="438"/>
      <c r="R269" s="437" t="s">
        <v>164</v>
      </c>
      <c r="S269" s="439"/>
      <c r="T269" s="438"/>
      <c r="U269" s="434" t="s">
        <v>165</v>
      </c>
      <c r="V269" s="435"/>
      <c r="W269" s="339" t="s">
        <v>212</v>
      </c>
      <c r="X269" s="339" t="s">
        <v>166</v>
      </c>
      <c r="Y269" s="436" t="s">
        <v>17</v>
      </c>
    </row>
    <row r="270" spans="1:25" ht="21" customHeight="1">
      <c r="A270" s="435" t="s">
        <v>140</v>
      </c>
      <c r="B270" s="435"/>
      <c r="C270" s="370" t="s">
        <v>142</v>
      </c>
      <c r="D270" s="339" t="s">
        <v>143</v>
      </c>
      <c r="E270" s="339" t="s">
        <v>145</v>
      </c>
      <c r="F270" s="339" t="s">
        <v>214</v>
      </c>
      <c r="G270" s="339" t="s">
        <v>147</v>
      </c>
      <c r="H270" s="339" t="s">
        <v>148</v>
      </c>
      <c r="I270" s="339" t="s">
        <v>149</v>
      </c>
      <c r="J270" s="339" t="s">
        <v>150</v>
      </c>
      <c r="K270" s="339" t="s">
        <v>151</v>
      </c>
      <c r="L270" s="339" t="s">
        <v>152</v>
      </c>
      <c r="M270" s="339" t="s">
        <v>153</v>
      </c>
      <c r="N270" s="339" t="s">
        <v>238</v>
      </c>
      <c r="O270" s="339" t="s">
        <v>331</v>
      </c>
      <c r="P270" s="340" t="s">
        <v>303</v>
      </c>
      <c r="Q270" s="340" t="s">
        <v>154</v>
      </c>
      <c r="R270" s="339" t="s">
        <v>155</v>
      </c>
      <c r="S270" s="339" t="s">
        <v>156</v>
      </c>
      <c r="T270" s="339" t="s">
        <v>216</v>
      </c>
      <c r="U270" s="339" t="s">
        <v>157</v>
      </c>
      <c r="V270" s="339" t="s">
        <v>158</v>
      </c>
      <c r="W270" s="339" t="s">
        <v>213</v>
      </c>
      <c r="X270" s="339" t="s">
        <v>159</v>
      </c>
      <c r="Y270" s="436"/>
    </row>
    <row r="271" spans="1:25" ht="21" customHeight="1">
      <c r="A271" s="93">
        <v>220700</v>
      </c>
      <c r="B271" s="68" t="s">
        <v>180</v>
      </c>
      <c r="C271" s="70">
        <v>93180</v>
      </c>
      <c r="D271" s="70">
        <v>25550</v>
      </c>
      <c r="E271" s="70">
        <v>9400</v>
      </c>
      <c r="F271" s="70"/>
      <c r="G271" s="70">
        <v>29500</v>
      </c>
      <c r="H271" s="74"/>
      <c r="I271" s="70">
        <v>27210</v>
      </c>
      <c r="J271" s="70"/>
      <c r="K271" s="70"/>
      <c r="L271" s="70">
        <v>38770</v>
      </c>
      <c r="M271" s="70"/>
      <c r="N271" s="70"/>
      <c r="O271" s="164"/>
      <c r="P271" s="164">
        <v>26750</v>
      </c>
      <c r="Q271" s="164"/>
      <c r="R271" s="70"/>
      <c r="S271" s="70"/>
      <c r="T271" s="70"/>
      <c r="U271" s="70"/>
      <c r="V271" s="70"/>
      <c r="W271" s="70"/>
      <c r="X271" s="70"/>
      <c r="Y271" s="95">
        <f>SUM(C271:X271)</f>
        <v>250360</v>
      </c>
    </row>
    <row r="272" spans="1:25" ht="21" customHeight="1">
      <c r="A272" s="96">
        <v>220800</v>
      </c>
      <c r="B272" s="69" t="s">
        <v>181</v>
      </c>
      <c r="C272" s="70">
        <v>13000</v>
      </c>
      <c r="D272" s="76">
        <v>2000</v>
      </c>
      <c r="E272" s="76">
        <v>2000</v>
      </c>
      <c r="F272" s="76"/>
      <c r="G272" s="76">
        <v>1000</v>
      </c>
      <c r="H272" s="123"/>
      <c r="I272" s="76">
        <v>2000</v>
      </c>
      <c r="J272" s="76"/>
      <c r="K272" s="76"/>
      <c r="L272" s="70">
        <v>7000</v>
      </c>
      <c r="M272" s="76"/>
      <c r="N272" s="76"/>
      <c r="O272" s="165"/>
      <c r="P272" s="165">
        <v>2000</v>
      </c>
      <c r="Q272" s="165"/>
      <c r="R272" s="76"/>
      <c r="S272" s="76"/>
      <c r="T272" s="76"/>
      <c r="U272" s="76"/>
      <c r="V272" s="76"/>
      <c r="W272" s="76"/>
      <c r="X272" s="76"/>
      <c r="Y272" s="95">
        <f>SUM(C272:X272)</f>
        <v>29000</v>
      </c>
    </row>
    <row r="273" spans="1:25" ht="21" customHeight="1">
      <c r="A273" s="426" t="s">
        <v>174</v>
      </c>
      <c r="B273" s="427"/>
      <c r="C273" s="95">
        <f t="shared" ref="C273:K273" si="106">SUM(C263:C272)</f>
        <v>280810</v>
      </c>
      <c r="D273" s="95">
        <f t="shared" si="106"/>
        <v>127350</v>
      </c>
      <c r="E273" s="95">
        <f t="shared" si="106"/>
        <v>33280</v>
      </c>
      <c r="F273" s="95">
        <f t="shared" si="106"/>
        <v>0</v>
      </c>
      <c r="G273" s="95">
        <f t="shared" si="106"/>
        <v>53870</v>
      </c>
      <c r="H273" s="95">
        <f t="shared" si="106"/>
        <v>0</v>
      </c>
      <c r="I273" s="95">
        <f t="shared" si="106"/>
        <v>29210</v>
      </c>
      <c r="J273" s="95">
        <f t="shared" si="106"/>
        <v>0</v>
      </c>
      <c r="K273" s="95">
        <f t="shared" si="106"/>
        <v>0</v>
      </c>
      <c r="L273" s="95">
        <f>SUM(L263:L272)</f>
        <v>96720</v>
      </c>
      <c r="M273" s="95">
        <f>SUM(M263:M272)</f>
        <v>0</v>
      </c>
      <c r="N273" s="95">
        <f t="shared" ref="N273:O273" si="107">SUM(N263:N272)</f>
        <v>0</v>
      </c>
      <c r="O273" s="95">
        <f t="shared" si="107"/>
        <v>0</v>
      </c>
      <c r="P273" s="95">
        <f>SUM(P263:P272)</f>
        <v>47700</v>
      </c>
      <c r="Q273" s="95">
        <f t="shared" ref="Q273:Y273" si="108">SUM(Q263:Q272)</f>
        <v>0</v>
      </c>
      <c r="R273" s="95">
        <f t="shared" si="108"/>
        <v>0</v>
      </c>
      <c r="S273" s="95">
        <f t="shared" si="108"/>
        <v>0</v>
      </c>
      <c r="T273" s="95">
        <f t="shared" si="108"/>
        <v>0</v>
      </c>
      <c r="U273" s="95">
        <f t="shared" si="108"/>
        <v>0</v>
      </c>
      <c r="V273" s="95">
        <f t="shared" si="108"/>
        <v>0</v>
      </c>
      <c r="W273" s="95">
        <f t="shared" si="108"/>
        <v>0</v>
      </c>
      <c r="X273" s="95">
        <f t="shared" si="108"/>
        <v>0</v>
      </c>
      <c r="Y273" s="95">
        <f t="shared" si="108"/>
        <v>668940</v>
      </c>
    </row>
    <row r="274" spans="1:25" ht="21" customHeight="1">
      <c r="A274" s="428" t="s">
        <v>175</v>
      </c>
      <c r="B274" s="429"/>
      <c r="C274" s="99">
        <f>+C273+C156</f>
        <v>855327</v>
      </c>
      <c r="D274" s="99">
        <f>+D273+D156</f>
        <v>396701.61</v>
      </c>
      <c r="E274" s="99">
        <f>+E273+E156</f>
        <v>99840</v>
      </c>
      <c r="F274" s="99">
        <f t="shared" ref="F274" si="109">+F273+F156</f>
        <v>0</v>
      </c>
      <c r="G274" s="99">
        <f>+G273+G156</f>
        <v>176210</v>
      </c>
      <c r="H274" s="99">
        <f t="shared" ref="H274" si="110">+H273+H156</f>
        <v>0</v>
      </c>
      <c r="I274" s="99">
        <f>+I273+I156</f>
        <v>97830</v>
      </c>
      <c r="J274" s="99">
        <f t="shared" ref="J274:K274" si="111">+J273+J156</f>
        <v>0</v>
      </c>
      <c r="K274" s="99">
        <f t="shared" si="111"/>
        <v>0</v>
      </c>
      <c r="L274" s="99">
        <f>+L273+L156</f>
        <v>294260</v>
      </c>
      <c r="M274" s="99">
        <f t="shared" ref="M274:O274" si="112">+M273+M156</f>
        <v>0</v>
      </c>
      <c r="N274" s="99">
        <f t="shared" si="112"/>
        <v>0</v>
      </c>
      <c r="O274" s="99">
        <f t="shared" si="112"/>
        <v>0</v>
      </c>
      <c r="P274" s="99">
        <f>+P273+P156</f>
        <v>150371</v>
      </c>
      <c r="Q274" s="99">
        <f t="shared" ref="Q274:Y274" si="113">+Q273+Q156</f>
        <v>0</v>
      </c>
      <c r="R274" s="99">
        <f t="shared" si="113"/>
        <v>0</v>
      </c>
      <c r="S274" s="99">
        <f t="shared" si="113"/>
        <v>0</v>
      </c>
      <c r="T274" s="99">
        <f t="shared" si="113"/>
        <v>0</v>
      </c>
      <c r="U274" s="99">
        <f t="shared" si="113"/>
        <v>0</v>
      </c>
      <c r="V274" s="99">
        <f t="shared" si="113"/>
        <v>0</v>
      </c>
      <c r="W274" s="99">
        <f t="shared" si="113"/>
        <v>0</v>
      </c>
      <c r="X274" s="99">
        <f t="shared" si="113"/>
        <v>0</v>
      </c>
      <c r="Y274" s="99">
        <f t="shared" si="113"/>
        <v>2070539.6099999999</v>
      </c>
    </row>
    <row r="275" spans="1:25" ht="21" customHeight="1">
      <c r="A275" s="432" t="s">
        <v>388</v>
      </c>
      <c r="B275" s="433"/>
      <c r="C275" s="100"/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67"/>
      <c r="P275" s="167"/>
      <c r="Q275" s="167"/>
      <c r="R275" s="100"/>
      <c r="S275" s="100"/>
      <c r="T275" s="100"/>
      <c r="U275" s="100"/>
      <c r="V275" s="100"/>
      <c r="W275" s="100"/>
      <c r="X275" s="100"/>
      <c r="Y275" s="101">
        <f t="shared" ref="Y275:Y280" si="114">SUM(C275:X275)</f>
        <v>0</v>
      </c>
    </row>
    <row r="276" spans="1:25" ht="21" customHeight="1">
      <c r="A276" s="93">
        <v>310100</v>
      </c>
      <c r="B276" s="68" t="s">
        <v>182</v>
      </c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164"/>
      <c r="P276" s="164"/>
      <c r="Q276" s="164"/>
      <c r="R276" s="70"/>
      <c r="S276" s="70"/>
      <c r="T276" s="70"/>
      <c r="U276" s="70"/>
      <c r="V276" s="70"/>
      <c r="W276" s="70"/>
      <c r="X276" s="70"/>
      <c r="Y276" s="95">
        <f t="shared" si="114"/>
        <v>0</v>
      </c>
    </row>
    <row r="277" spans="1:25" ht="21" customHeight="1">
      <c r="A277" s="93">
        <v>310200</v>
      </c>
      <c r="B277" s="68" t="s">
        <v>183</v>
      </c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164"/>
      <c r="P277" s="164"/>
      <c r="Q277" s="164"/>
      <c r="R277" s="70"/>
      <c r="S277" s="70"/>
      <c r="T277" s="70"/>
      <c r="U277" s="70"/>
      <c r="V277" s="70"/>
      <c r="W277" s="70"/>
      <c r="X277" s="70"/>
      <c r="Y277" s="95">
        <f t="shared" si="114"/>
        <v>0</v>
      </c>
    </row>
    <row r="278" spans="1:25" ht="21" customHeight="1">
      <c r="A278" s="93">
        <v>310300</v>
      </c>
      <c r="B278" s="68" t="s">
        <v>184</v>
      </c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164"/>
      <c r="P278" s="164"/>
      <c r="Q278" s="164"/>
      <c r="R278" s="70"/>
      <c r="S278" s="70"/>
      <c r="T278" s="70"/>
      <c r="U278" s="70"/>
      <c r="V278" s="70"/>
      <c r="W278" s="70"/>
      <c r="X278" s="70"/>
      <c r="Y278" s="95">
        <f t="shared" si="114"/>
        <v>0</v>
      </c>
    </row>
    <row r="279" spans="1:25" ht="21" customHeight="1">
      <c r="A279" s="93">
        <v>310400</v>
      </c>
      <c r="B279" s="68" t="s">
        <v>185</v>
      </c>
      <c r="C279" s="70">
        <v>11800</v>
      </c>
      <c r="D279" s="70">
        <v>4600</v>
      </c>
      <c r="E279" s="70">
        <v>2500</v>
      </c>
      <c r="F279" s="70"/>
      <c r="G279" s="70">
        <v>3000</v>
      </c>
      <c r="H279" s="70"/>
      <c r="I279" s="70"/>
      <c r="J279" s="70"/>
      <c r="K279" s="70"/>
      <c r="L279" s="70">
        <v>4800</v>
      </c>
      <c r="M279" s="70"/>
      <c r="N279" s="70"/>
      <c r="O279" s="164"/>
      <c r="P279" s="164">
        <v>2300</v>
      </c>
      <c r="Q279" s="164"/>
      <c r="R279" s="70"/>
      <c r="S279" s="70"/>
      <c r="T279" s="70"/>
      <c r="U279" s="70"/>
      <c r="V279" s="70"/>
      <c r="W279" s="70"/>
      <c r="X279" s="70"/>
      <c r="Y279" s="95">
        <f t="shared" si="114"/>
        <v>29000</v>
      </c>
    </row>
    <row r="280" spans="1:25" ht="21" customHeight="1">
      <c r="A280" s="93">
        <v>310500</v>
      </c>
      <c r="B280" s="68" t="s">
        <v>186</v>
      </c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164"/>
      <c r="P280" s="164"/>
      <c r="Q280" s="164"/>
      <c r="R280" s="70"/>
      <c r="S280" s="70"/>
      <c r="T280" s="70"/>
      <c r="U280" s="70"/>
      <c r="V280" s="70"/>
      <c r="W280" s="70"/>
      <c r="X280" s="70"/>
      <c r="Y280" s="95">
        <f t="shared" si="114"/>
        <v>0</v>
      </c>
    </row>
    <row r="281" spans="1:25" ht="21" customHeight="1">
      <c r="A281" s="96">
        <v>310600</v>
      </c>
      <c r="B281" s="69" t="s">
        <v>187</v>
      </c>
      <c r="C281" s="70"/>
      <c r="D281" s="70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165"/>
      <c r="P281" s="165"/>
      <c r="Q281" s="165"/>
      <c r="R281" s="76"/>
      <c r="S281" s="76"/>
      <c r="T281" s="76"/>
      <c r="U281" s="76"/>
      <c r="V281" s="76"/>
      <c r="W281" s="76"/>
      <c r="X281" s="76"/>
      <c r="Y281" s="98">
        <f>SUM(C281:X281)</f>
        <v>0</v>
      </c>
    </row>
    <row r="282" spans="1:25" ht="21" customHeight="1">
      <c r="A282" s="426" t="s">
        <v>174</v>
      </c>
      <c r="B282" s="427"/>
      <c r="C282" s="95">
        <f t="shared" ref="C282:K282" si="115">SUM(C276:C281)</f>
        <v>11800</v>
      </c>
      <c r="D282" s="95">
        <f t="shared" si="115"/>
        <v>4600</v>
      </c>
      <c r="E282" s="95">
        <f t="shared" si="115"/>
        <v>2500</v>
      </c>
      <c r="F282" s="95">
        <f t="shared" si="115"/>
        <v>0</v>
      </c>
      <c r="G282" s="95">
        <f t="shared" si="115"/>
        <v>3000</v>
      </c>
      <c r="H282" s="95">
        <f t="shared" si="115"/>
        <v>0</v>
      </c>
      <c r="I282" s="95">
        <f t="shared" si="115"/>
        <v>0</v>
      </c>
      <c r="J282" s="95">
        <f t="shared" si="115"/>
        <v>0</v>
      </c>
      <c r="K282" s="95">
        <f t="shared" si="115"/>
        <v>0</v>
      </c>
      <c r="L282" s="95">
        <f>SUM(L276:L281)</f>
        <v>4800</v>
      </c>
      <c r="M282" s="95">
        <f>SUM(M276:M281)</f>
        <v>0</v>
      </c>
      <c r="N282" s="95">
        <f>SUM(N276:N281)</f>
        <v>0</v>
      </c>
      <c r="O282" s="95">
        <f t="shared" ref="O282:V282" si="116">SUM(O276:O281)</f>
        <v>0</v>
      </c>
      <c r="P282" s="95">
        <f t="shared" si="116"/>
        <v>2300</v>
      </c>
      <c r="Q282" s="95">
        <f t="shared" si="116"/>
        <v>0</v>
      </c>
      <c r="R282" s="95">
        <f t="shared" si="116"/>
        <v>0</v>
      </c>
      <c r="S282" s="95">
        <f t="shared" si="116"/>
        <v>0</v>
      </c>
      <c r="T282" s="95">
        <f t="shared" si="116"/>
        <v>0</v>
      </c>
      <c r="U282" s="95">
        <f t="shared" si="116"/>
        <v>0</v>
      </c>
      <c r="V282" s="95">
        <f t="shared" si="116"/>
        <v>0</v>
      </c>
      <c r="W282" s="95">
        <f>SUM(W276:W281)</f>
        <v>0</v>
      </c>
      <c r="X282" s="95">
        <f>SUM(X276:X281)</f>
        <v>0</v>
      </c>
      <c r="Y282" s="95">
        <f>SUM(C282:X282)</f>
        <v>29000</v>
      </c>
    </row>
    <row r="283" spans="1:25" ht="21" customHeight="1">
      <c r="A283" s="428" t="s">
        <v>175</v>
      </c>
      <c r="B283" s="429"/>
      <c r="C283" s="99">
        <f>+C282+C165</f>
        <v>34853.25</v>
      </c>
      <c r="D283" s="99">
        <f t="shared" ref="D283:W283" si="117">+D282+D165</f>
        <v>9200</v>
      </c>
      <c r="E283" s="99">
        <f t="shared" si="117"/>
        <v>5000</v>
      </c>
      <c r="F283" s="99">
        <f t="shared" si="117"/>
        <v>0</v>
      </c>
      <c r="G283" s="99">
        <f t="shared" si="117"/>
        <v>6000</v>
      </c>
      <c r="H283" s="99">
        <f t="shared" si="117"/>
        <v>0</v>
      </c>
      <c r="I283" s="99">
        <f t="shared" si="117"/>
        <v>0</v>
      </c>
      <c r="J283" s="99">
        <f t="shared" si="117"/>
        <v>0</v>
      </c>
      <c r="K283" s="99">
        <f t="shared" si="117"/>
        <v>0</v>
      </c>
      <c r="L283" s="99">
        <f t="shared" si="117"/>
        <v>12900</v>
      </c>
      <c r="M283" s="99">
        <f t="shared" si="117"/>
        <v>0</v>
      </c>
      <c r="N283" s="99">
        <f t="shared" si="117"/>
        <v>0</v>
      </c>
      <c r="O283" s="99">
        <f t="shared" si="117"/>
        <v>0</v>
      </c>
      <c r="P283" s="99">
        <f t="shared" si="117"/>
        <v>4600</v>
      </c>
      <c r="Q283" s="99">
        <f t="shared" si="117"/>
        <v>0</v>
      </c>
      <c r="R283" s="99">
        <f t="shared" si="117"/>
        <v>0</v>
      </c>
      <c r="S283" s="99">
        <f t="shared" si="117"/>
        <v>0</v>
      </c>
      <c r="T283" s="99">
        <f t="shared" si="117"/>
        <v>0</v>
      </c>
      <c r="U283" s="99">
        <f t="shared" si="117"/>
        <v>0</v>
      </c>
      <c r="V283" s="99">
        <f t="shared" si="117"/>
        <v>0</v>
      </c>
      <c r="W283" s="99">
        <f t="shared" si="117"/>
        <v>0</v>
      </c>
      <c r="X283" s="99">
        <f>+X282+X165</f>
        <v>0</v>
      </c>
      <c r="Y283" s="99">
        <f>+Y282+Y165</f>
        <v>72553.25</v>
      </c>
    </row>
    <row r="284" spans="1:25" ht="21" customHeight="1">
      <c r="A284" s="432" t="s">
        <v>389</v>
      </c>
      <c r="B284" s="433"/>
      <c r="C284" s="100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67"/>
      <c r="P284" s="167"/>
      <c r="Q284" s="167"/>
      <c r="R284" s="100"/>
      <c r="S284" s="100"/>
      <c r="T284" s="100"/>
      <c r="U284" s="100"/>
      <c r="V284" s="100"/>
      <c r="W284" s="100"/>
      <c r="X284" s="100"/>
      <c r="Y284" s="101">
        <f t="shared" ref="Y284" si="118">SUM(C284:X284)</f>
        <v>0</v>
      </c>
    </row>
    <row r="285" spans="1:25" ht="21" customHeight="1">
      <c r="A285" s="93">
        <v>320100</v>
      </c>
      <c r="B285" s="68" t="s">
        <v>188</v>
      </c>
      <c r="C285" s="70">
        <f>7100+288+2880+7000+7000+7000+3900+576+2000</f>
        <v>37744</v>
      </c>
      <c r="D285" s="70">
        <v>13200</v>
      </c>
      <c r="E285" s="70"/>
      <c r="F285" s="70"/>
      <c r="G285" s="70">
        <f>2700+7000+7000+4350+3900</f>
        <v>24950</v>
      </c>
      <c r="H285" s="70"/>
      <c r="I285" s="70"/>
      <c r="J285" s="70">
        <v>7000</v>
      </c>
      <c r="K285" s="70"/>
      <c r="L285" s="70"/>
      <c r="M285" s="70"/>
      <c r="N285" s="70">
        <f>7000+7000+7000+7000+12000</f>
        <v>40000</v>
      </c>
      <c r="O285" s="164"/>
      <c r="P285" s="164"/>
      <c r="Q285" s="164">
        <v>3900</v>
      </c>
      <c r="R285" s="70"/>
      <c r="S285" s="70"/>
      <c r="T285" s="70"/>
      <c r="U285" s="70"/>
      <c r="V285" s="70"/>
      <c r="W285" s="70">
        <v>8000</v>
      </c>
      <c r="X285" s="70"/>
      <c r="Y285" s="95">
        <f>SUM(C285:X285)</f>
        <v>134794</v>
      </c>
    </row>
    <row r="286" spans="1:25" ht="21" customHeight="1">
      <c r="A286" s="93">
        <v>320200</v>
      </c>
      <c r="B286" s="68" t="s">
        <v>189</v>
      </c>
      <c r="C286" s="70">
        <v>4000</v>
      </c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164"/>
      <c r="P286" s="164"/>
      <c r="Q286" s="164"/>
      <c r="R286" s="70"/>
      <c r="S286" s="70"/>
      <c r="T286" s="70"/>
      <c r="U286" s="70"/>
      <c r="V286" s="70"/>
      <c r="W286" s="70"/>
      <c r="X286" s="70"/>
      <c r="Y286" s="95">
        <f>SUM(C286:X286)</f>
        <v>4000</v>
      </c>
    </row>
    <row r="287" spans="1:25" ht="21" customHeight="1">
      <c r="A287" s="93">
        <v>320300</v>
      </c>
      <c r="B287" s="68" t="s">
        <v>190</v>
      </c>
      <c r="C287" s="70">
        <f>600+4072</f>
        <v>4672</v>
      </c>
      <c r="D287" s="70"/>
      <c r="E287" s="70"/>
      <c r="F287" s="70">
        <f>6000+3000</f>
        <v>9000</v>
      </c>
      <c r="G287" s="70">
        <v>2600</v>
      </c>
      <c r="H287" s="70"/>
      <c r="I287" s="70"/>
      <c r="J287" s="70"/>
      <c r="K287" s="70"/>
      <c r="L287" s="70"/>
      <c r="M287" s="70"/>
      <c r="N287" s="70"/>
      <c r="O287" s="164"/>
      <c r="P287" s="164"/>
      <c r="Q287" s="164">
        <f>3690+4500+18000+10000+16000</f>
        <v>52190</v>
      </c>
      <c r="R287" s="70"/>
      <c r="S287" s="70">
        <v>2400</v>
      </c>
      <c r="T287" s="70"/>
      <c r="U287" s="70"/>
      <c r="V287" s="70"/>
      <c r="W287" s="70"/>
      <c r="X287" s="70"/>
      <c r="Y287" s="95">
        <f>SUM(C287:X287)</f>
        <v>70862</v>
      </c>
    </row>
    <row r="288" spans="1:25" ht="21" customHeight="1">
      <c r="A288" s="96">
        <v>320400</v>
      </c>
      <c r="B288" s="69" t="s">
        <v>191</v>
      </c>
      <c r="C288" s="76">
        <v>21560.5</v>
      </c>
      <c r="D288" s="76"/>
      <c r="E288" s="76"/>
      <c r="F288" s="76"/>
      <c r="G288" s="76">
        <v>1616</v>
      </c>
      <c r="H288" s="76"/>
      <c r="I288" s="76"/>
      <c r="J288" s="76"/>
      <c r="K288" s="76"/>
      <c r="L288" s="76"/>
      <c r="M288" s="76"/>
      <c r="N288" s="76">
        <f>14675.05+36000</f>
        <v>50675.05</v>
      </c>
      <c r="O288" s="165"/>
      <c r="P288" s="165"/>
      <c r="Q288" s="165"/>
      <c r="R288" s="76"/>
      <c r="S288" s="76"/>
      <c r="T288" s="76"/>
      <c r="U288" s="76"/>
      <c r="V288" s="76"/>
      <c r="W288" s="76"/>
      <c r="X288" s="76"/>
      <c r="Y288" s="95">
        <f>SUM(C288:X288)</f>
        <v>73851.55</v>
      </c>
    </row>
    <row r="289" spans="1:25" ht="21" customHeight="1">
      <c r="A289" s="426" t="s">
        <v>174</v>
      </c>
      <c r="B289" s="427"/>
      <c r="C289" s="95">
        <f>SUM(C285:C288)</f>
        <v>67976.5</v>
      </c>
      <c r="D289" s="95">
        <f t="shared" ref="D289:V289" si="119">SUM(D285:D288)</f>
        <v>13200</v>
      </c>
      <c r="E289" s="95">
        <f t="shared" si="119"/>
        <v>0</v>
      </c>
      <c r="F289" s="95">
        <f t="shared" si="119"/>
        <v>9000</v>
      </c>
      <c r="G289" s="95">
        <f t="shared" si="119"/>
        <v>29166</v>
      </c>
      <c r="H289" s="95">
        <f t="shared" si="119"/>
        <v>0</v>
      </c>
      <c r="I289" s="95">
        <f t="shared" si="119"/>
        <v>0</v>
      </c>
      <c r="J289" s="95">
        <f t="shared" si="119"/>
        <v>7000</v>
      </c>
      <c r="K289" s="95">
        <f t="shared" si="119"/>
        <v>0</v>
      </c>
      <c r="L289" s="95">
        <f t="shared" si="119"/>
        <v>0</v>
      </c>
      <c r="M289" s="95">
        <f t="shared" si="119"/>
        <v>0</v>
      </c>
      <c r="N289" s="95">
        <f t="shared" si="119"/>
        <v>90675.05</v>
      </c>
      <c r="O289" s="95">
        <f t="shared" si="119"/>
        <v>0</v>
      </c>
      <c r="P289" s="95">
        <f t="shared" si="119"/>
        <v>0</v>
      </c>
      <c r="Q289" s="95">
        <f t="shared" si="119"/>
        <v>56090</v>
      </c>
      <c r="R289" s="95">
        <f t="shared" si="119"/>
        <v>0</v>
      </c>
      <c r="S289" s="95">
        <f t="shared" si="119"/>
        <v>2400</v>
      </c>
      <c r="T289" s="95">
        <f t="shared" si="119"/>
        <v>0</v>
      </c>
      <c r="U289" s="95">
        <f t="shared" si="119"/>
        <v>0</v>
      </c>
      <c r="V289" s="95">
        <f t="shared" si="119"/>
        <v>0</v>
      </c>
      <c r="W289" s="95">
        <f>SUM(W285:W288)</f>
        <v>8000</v>
      </c>
      <c r="X289" s="95">
        <f t="shared" ref="X289" si="120">SUM(X285:X288)</f>
        <v>0</v>
      </c>
      <c r="Y289" s="95">
        <f>SUM(Y285:Y288)</f>
        <v>283507.55</v>
      </c>
    </row>
    <row r="290" spans="1:25" ht="21" customHeight="1">
      <c r="A290" s="428" t="s">
        <v>175</v>
      </c>
      <c r="B290" s="429"/>
      <c r="C290" s="99">
        <f>+C289+C172</f>
        <v>223053.14</v>
      </c>
      <c r="D290" s="99">
        <f t="shared" ref="D290:Y290" si="121">+D289+D172</f>
        <v>13200</v>
      </c>
      <c r="E290" s="99">
        <f t="shared" si="121"/>
        <v>700</v>
      </c>
      <c r="F290" s="99">
        <f t="shared" si="121"/>
        <v>9000</v>
      </c>
      <c r="G290" s="99">
        <f t="shared" si="121"/>
        <v>62864</v>
      </c>
      <c r="H290" s="99">
        <f t="shared" si="121"/>
        <v>210000</v>
      </c>
      <c r="I290" s="99">
        <f t="shared" si="121"/>
        <v>0</v>
      </c>
      <c r="J290" s="99">
        <f t="shared" si="121"/>
        <v>14000</v>
      </c>
      <c r="K290" s="99">
        <f t="shared" si="121"/>
        <v>0</v>
      </c>
      <c r="L290" s="99">
        <f t="shared" si="121"/>
        <v>16289</v>
      </c>
      <c r="M290" s="99">
        <f t="shared" si="121"/>
        <v>0</v>
      </c>
      <c r="N290" s="99">
        <f t="shared" si="121"/>
        <v>154888.79999999999</v>
      </c>
      <c r="O290" s="99">
        <f t="shared" si="121"/>
        <v>0</v>
      </c>
      <c r="P290" s="99">
        <f t="shared" si="121"/>
        <v>4030</v>
      </c>
      <c r="Q290" s="99">
        <f t="shared" si="121"/>
        <v>56090</v>
      </c>
      <c r="R290" s="99">
        <f t="shared" si="121"/>
        <v>12200</v>
      </c>
      <c r="S290" s="99">
        <f t="shared" si="121"/>
        <v>10400</v>
      </c>
      <c r="T290" s="99">
        <f t="shared" si="121"/>
        <v>0</v>
      </c>
      <c r="U290" s="99">
        <f t="shared" si="121"/>
        <v>0</v>
      </c>
      <c r="V290" s="99">
        <f t="shared" si="121"/>
        <v>0</v>
      </c>
      <c r="W290" s="99">
        <f t="shared" si="121"/>
        <v>16000</v>
      </c>
      <c r="X290" s="99">
        <f t="shared" si="121"/>
        <v>0</v>
      </c>
      <c r="Y290" s="99">
        <f t="shared" si="121"/>
        <v>802714.94</v>
      </c>
    </row>
    <row r="291" spans="1:25" ht="21" customHeight="1">
      <c r="A291" s="432" t="s">
        <v>390</v>
      </c>
      <c r="B291" s="433"/>
      <c r="C291" s="100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67"/>
      <c r="P291" s="167"/>
      <c r="Q291" s="167"/>
      <c r="R291" s="100"/>
      <c r="S291" s="100"/>
      <c r="T291" s="100"/>
      <c r="U291" s="100"/>
      <c r="V291" s="100"/>
      <c r="W291" s="100"/>
      <c r="X291" s="100"/>
      <c r="Y291" s="101">
        <f>SUM(C291:X291)</f>
        <v>0</v>
      </c>
    </row>
    <row r="292" spans="1:25" ht="21" customHeight="1">
      <c r="A292" s="93">
        <v>330100</v>
      </c>
      <c r="B292" s="68" t="s">
        <v>192</v>
      </c>
      <c r="C292" s="70">
        <v>36450</v>
      </c>
      <c r="D292" s="70">
        <v>3127.3</v>
      </c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164"/>
      <c r="P292" s="164"/>
      <c r="Q292" s="164"/>
      <c r="R292" s="70"/>
      <c r="S292" s="70"/>
      <c r="T292" s="70"/>
      <c r="U292" s="70"/>
      <c r="V292" s="70"/>
      <c r="W292" s="70"/>
      <c r="X292" s="70"/>
      <c r="Y292" s="95">
        <f>SUM(C292:X292)</f>
        <v>39577.300000000003</v>
      </c>
    </row>
    <row r="293" spans="1:25" ht="21" customHeight="1">
      <c r="A293" s="93">
        <v>330200</v>
      </c>
      <c r="B293" s="68" t="s">
        <v>193</v>
      </c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>
        <v>5255</v>
      </c>
      <c r="N293" s="70"/>
      <c r="O293" s="164"/>
      <c r="P293" s="164"/>
      <c r="Q293" s="164"/>
      <c r="R293" s="70"/>
      <c r="S293" s="70"/>
      <c r="T293" s="70"/>
      <c r="U293" s="70"/>
      <c r="V293" s="70"/>
      <c r="W293" s="70"/>
      <c r="X293" s="70"/>
      <c r="Y293" s="95">
        <f t="shared" ref="Y293:Y297" si="122">SUM(C293:X293)</f>
        <v>5255</v>
      </c>
    </row>
    <row r="294" spans="1:25" ht="21" customHeight="1">
      <c r="A294" s="93">
        <v>330300</v>
      </c>
      <c r="B294" s="68" t="s">
        <v>235</v>
      </c>
      <c r="C294" s="70">
        <f>960+945</f>
        <v>1905</v>
      </c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164"/>
      <c r="P294" s="164"/>
      <c r="Q294" s="164"/>
      <c r="R294" s="70"/>
      <c r="S294" s="70"/>
      <c r="T294" s="70"/>
      <c r="U294" s="70"/>
      <c r="V294" s="70"/>
      <c r="W294" s="70"/>
      <c r="X294" s="70"/>
      <c r="Y294" s="95">
        <f t="shared" si="122"/>
        <v>1905</v>
      </c>
    </row>
    <row r="295" spans="1:25" ht="21" customHeight="1">
      <c r="A295" s="93">
        <v>330400</v>
      </c>
      <c r="B295" s="68" t="s">
        <v>210</v>
      </c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164"/>
      <c r="P295" s="164"/>
      <c r="Q295" s="164"/>
      <c r="R295" s="70"/>
      <c r="S295" s="70"/>
      <c r="T295" s="70"/>
      <c r="U295" s="70"/>
      <c r="V295" s="70"/>
      <c r="W295" s="70"/>
      <c r="X295" s="70"/>
      <c r="Y295" s="95">
        <f t="shared" si="122"/>
        <v>0</v>
      </c>
    </row>
    <row r="296" spans="1:25" ht="21" customHeight="1">
      <c r="A296" s="93">
        <v>330600</v>
      </c>
      <c r="B296" s="68" t="s">
        <v>194</v>
      </c>
      <c r="C296" s="70">
        <v>1230</v>
      </c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164"/>
      <c r="P296" s="164"/>
      <c r="Q296" s="164"/>
      <c r="R296" s="70"/>
      <c r="S296" s="70"/>
      <c r="T296" s="70"/>
      <c r="U296" s="70"/>
      <c r="V296" s="70"/>
      <c r="W296" s="70"/>
      <c r="X296" s="70"/>
      <c r="Y296" s="95">
        <f t="shared" si="122"/>
        <v>1230</v>
      </c>
    </row>
    <row r="297" spans="1:25" ht="21" customHeight="1">
      <c r="A297" s="93">
        <v>330700</v>
      </c>
      <c r="B297" s="68" t="s">
        <v>310</v>
      </c>
      <c r="C297" s="70">
        <v>15920</v>
      </c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164"/>
      <c r="P297" s="164"/>
      <c r="Q297" s="164"/>
      <c r="R297" s="70"/>
      <c r="S297" s="70"/>
      <c r="T297" s="70"/>
      <c r="U297" s="70"/>
      <c r="V297" s="70"/>
      <c r="W297" s="70"/>
      <c r="X297" s="70"/>
      <c r="Y297" s="95">
        <f t="shared" si="122"/>
        <v>15920</v>
      </c>
    </row>
    <row r="298" spans="1:25" ht="21" customHeight="1">
      <c r="A298" s="93">
        <v>330800</v>
      </c>
      <c r="B298" s="68" t="s">
        <v>195</v>
      </c>
      <c r="C298" s="70">
        <v>18086.25</v>
      </c>
      <c r="D298" s="70">
        <v>102.24</v>
      </c>
      <c r="E298" s="70"/>
      <c r="F298" s="70"/>
      <c r="G298" s="70"/>
      <c r="H298" s="70"/>
      <c r="I298" s="70"/>
      <c r="J298" s="70">
        <v>4684</v>
      </c>
      <c r="K298" s="70"/>
      <c r="L298" s="70">
        <v>152.56</v>
      </c>
      <c r="M298" s="70">
        <v>14362.9</v>
      </c>
      <c r="N298" s="70">
        <v>25820</v>
      </c>
      <c r="O298" s="164"/>
      <c r="P298" s="164"/>
      <c r="Q298" s="164"/>
      <c r="R298" s="70"/>
      <c r="S298" s="70"/>
      <c r="T298" s="70"/>
      <c r="U298" s="70"/>
      <c r="V298" s="70"/>
      <c r="W298" s="70"/>
      <c r="X298" s="70"/>
      <c r="Y298" s="95">
        <f>SUM(C298:X298)</f>
        <v>63207.950000000004</v>
      </c>
    </row>
    <row r="299" spans="1:25" ht="21" customHeight="1">
      <c r="A299" s="93">
        <v>330900</v>
      </c>
      <c r="B299" s="68" t="s">
        <v>197</v>
      </c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164"/>
      <c r="P299" s="164"/>
      <c r="Q299" s="164"/>
      <c r="R299" s="70"/>
      <c r="S299" s="70"/>
      <c r="T299" s="70"/>
      <c r="U299" s="70"/>
      <c r="V299" s="70"/>
      <c r="W299" s="70"/>
      <c r="X299" s="70"/>
      <c r="Y299" s="95">
        <f t="shared" ref="Y299" si="123">SUM(C299:X299)</f>
        <v>0</v>
      </c>
    </row>
    <row r="300" spans="1:25" ht="21" customHeight="1">
      <c r="A300" s="435" t="s">
        <v>139</v>
      </c>
      <c r="B300" s="435"/>
      <c r="C300" s="434" t="s">
        <v>141</v>
      </c>
      <c r="D300" s="434"/>
      <c r="E300" s="437" t="s">
        <v>144</v>
      </c>
      <c r="F300" s="438"/>
      <c r="G300" s="434" t="s">
        <v>146</v>
      </c>
      <c r="H300" s="435"/>
      <c r="I300" s="437" t="s">
        <v>160</v>
      </c>
      <c r="J300" s="438"/>
      <c r="K300" s="339" t="s">
        <v>161</v>
      </c>
      <c r="L300" s="437" t="s">
        <v>162</v>
      </c>
      <c r="M300" s="439"/>
      <c r="N300" s="439"/>
      <c r="O300" s="438"/>
      <c r="P300" s="437" t="s">
        <v>163</v>
      </c>
      <c r="Q300" s="438"/>
      <c r="R300" s="437" t="s">
        <v>164</v>
      </c>
      <c r="S300" s="439"/>
      <c r="T300" s="438"/>
      <c r="U300" s="434" t="s">
        <v>165</v>
      </c>
      <c r="V300" s="435"/>
      <c r="W300" s="339" t="s">
        <v>212</v>
      </c>
      <c r="X300" s="339" t="s">
        <v>166</v>
      </c>
      <c r="Y300" s="436" t="s">
        <v>17</v>
      </c>
    </row>
    <row r="301" spans="1:25" ht="21" customHeight="1">
      <c r="A301" s="435" t="s">
        <v>140</v>
      </c>
      <c r="B301" s="435"/>
      <c r="C301" s="370" t="s">
        <v>142</v>
      </c>
      <c r="D301" s="339" t="s">
        <v>143</v>
      </c>
      <c r="E301" s="339" t="s">
        <v>145</v>
      </c>
      <c r="F301" s="339" t="s">
        <v>214</v>
      </c>
      <c r="G301" s="339" t="s">
        <v>147</v>
      </c>
      <c r="H301" s="339" t="s">
        <v>148</v>
      </c>
      <c r="I301" s="339" t="s">
        <v>149</v>
      </c>
      <c r="J301" s="339" t="s">
        <v>150</v>
      </c>
      <c r="K301" s="339" t="s">
        <v>151</v>
      </c>
      <c r="L301" s="339" t="s">
        <v>152</v>
      </c>
      <c r="M301" s="339" t="s">
        <v>153</v>
      </c>
      <c r="N301" s="339" t="s">
        <v>238</v>
      </c>
      <c r="O301" s="339" t="s">
        <v>331</v>
      </c>
      <c r="P301" s="340" t="s">
        <v>303</v>
      </c>
      <c r="Q301" s="340" t="s">
        <v>154</v>
      </c>
      <c r="R301" s="339" t="s">
        <v>155</v>
      </c>
      <c r="S301" s="339" t="s">
        <v>156</v>
      </c>
      <c r="T301" s="339" t="s">
        <v>216</v>
      </c>
      <c r="U301" s="339" t="s">
        <v>157</v>
      </c>
      <c r="V301" s="339" t="s">
        <v>158</v>
      </c>
      <c r="W301" s="339" t="s">
        <v>213</v>
      </c>
      <c r="X301" s="339" t="s">
        <v>159</v>
      </c>
      <c r="Y301" s="436"/>
    </row>
    <row r="302" spans="1:25" ht="21" customHeight="1">
      <c r="A302" s="224">
        <v>331000</v>
      </c>
      <c r="B302" s="227" t="s">
        <v>300</v>
      </c>
      <c r="C302" s="228"/>
      <c r="D302" s="225"/>
      <c r="E302" s="225"/>
      <c r="F302" s="225"/>
      <c r="G302" s="225"/>
      <c r="H302" s="225"/>
      <c r="I302" s="225"/>
      <c r="J302" s="225"/>
      <c r="K302" s="225"/>
      <c r="L302" s="225"/>
      <c r="M302" s="225"/>
      <c r="N302" s="225"/>
      <c r="O302" s="226"/>
      <c r="P302" s="226"/>
      <c r="Q302" s="226"/>
      <c r="R302" s="225"/>
      <c r="S302" s="225"/>
      <c r="T302" s="225"/>
      <c r="U302" s="225"/>
      <c r="V302" s="225"/>
      <c r="W302" s="225"/>
      <c r="X302" s="225"/>
      <c r="Y302" s="95">
        <f>SUM(C302:X302)</f>
        <v>0</v>
      </c>
    </row>
    <row r="303" spans="1:25" ht="21" customHeight="1">
      <c r="A303" s="93">
        <v>331200</v>
      </c>
      <c r="B303" s="68" t="s">
        <v>198</v>
      </c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164"/>
      <c r="P303" s="164"/>
      <c r="Q303" s="164"/>
      <c r="R303" s="70"/>
      <c r="S303" s="70"/>
      <c r="T303" s="70"/>
      <c r="U303" s="70"/>
      <c r="V303" s="70"/>
      <c r="W303" s="70"/>
      <c r="X303" s="70"/>
      <c r="Y303" s="95">
        <f>SUM(C303:X303)</f>
        <v>0</v>
      </c>
    </row>
    <row r="304" spans="1:25" ht="21" customHeight="1">
      <c r="A304" s="93">
        <v>331300</v>
      </c>
      <c r="B304" s="68" t="s">
        <v>199</v>
      </c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164"/>
      <c r="P304" s="164"/>
      <c r="Q304" s="164"/>
      <c r="R304" s="70">
        <v>2980</v>
      </c>
      <c r="S304" s="70"/>
      <c r="T304" s="70"/>
      <c r="U304" s="70"/>
      <c r="V304" s="70"/>
      <c r="W304" s="70"/>
      <c r="X304" s="70"/>
      <c r="Y304" s="95">
        <f t="shared" ref="Y304:Y307" si="124">SUM(C304:X304)</f>
        <v>2980</v>
      </c>
    </row>
    <row r="305" spans="1:25" ht="21" customHeight="1">
      <c r="A305" s="93">
        <v>331400</v>
      </c>
      <c r="B305" s="68" t="s">
        <v>196</v>
      </c>
      <c r="C305" s="70"/>
      <c r="D305" s="70">
        <v>16250</v>
      </c>
      <c r="E305" s="70"/>
      <c r="F305" s="70"/>
      <c r="G305" s="70"/>
      <c r="H305" s="70"/>
      <c r="I305" s="70"/>
      <c r="J305" s="70"/>
      <c r="K305" s="70"/>
      <c r="L305" s="70">
        <v>21390</v>
      </c>
      <c r="M305" s="70"/>
      <c r="N305" s="70"/>
      <c r="O305" s="164"/>
      <c r="P305" s="164"/>
      <c r="Q305" s="164"/>
      <c r="R305" s="70"/>
      <c r="S305" s="70"/>
      <c r="T305" s="70"/>
      <c r="U305" s="70"/>
      <c r="V305" s="70"/>
      <c r="W305" s="70"/>
      <c r="X305" s="70"/>
      <c r="Y305" s="95">
        <f t="shared" si="124"/>
        <v>37640</v>
      </c>
    </row>
    <row r="306" spans="1:25" ht="21" customHeight="1">
      <c r="A306" s="93">
        <v>331500</v>
      </c>
      <c r="B306" s="68" t="s">
        <v>200</v>
      </c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164"/>
      <c r="P306" s="164"/>
      <c r="Q306" s="164"/>
      <c r="R306" s="70"/>
      <c r="S306" s="70"/>
      <c r="T306" s="70"/>
      <c r="U306" s="70"/>
      <c r="V306" s="70"/>
      <c r="W306" s="70"/>
      <c r="X306" s="70"/>
      <c r="Y306" s="95">
        <f t="shared" si="124"/>
        <v>0</v>
      </c>
    </row>
    <row r="307" spans="1:25" ht="21" customHeight="1">
      <c r="A307" s="96">
        <v>331700</v>
      </c>
      <c r="B307" s="69" t="s">
        <v>201</v>
      </c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165"/>
      <c r="P307" s="165"/>
      <c r="Q307" s="165"/>
      <c r="R307" s="76"/>
      <c r="S307" s="76"/>
      <c r="T307" s="76"/>
      <c r="U307" s="76"/>
      <c r="V307" s="76"/>
      <c r="W307" s="76"/>
      <c r="X307" s="76"/>
      <c r="Y307" s="95">
        <f t="shared" si="124"/>
        <v>0</v>
      </c>
    </row>
    <row r="308" spans="1:25" ht="21" customHeight="1">
      <c r="A308" s="426" t="s">
        <v>174</v>
      </c>
      <c r="B308" s="427"/>
      <c r="C308" s="95">
        <f t="shared" ref="C308:X308" si="125">SUM(C292:C307)</f>
        <v>73591.25</v>
      </c>
      <c r="D308" s="95">
        <f t="shared" si="125"/>
        <v>19479.54</v>
      </c>
      <c r="E308" s="95">
        <f t="shared" si="125"/>
        <v>0</v>
      </c>
      <c r="F308" s="95">
        <f t="shared" si="125"/>
        <v>0</v>
      </c>
      <c r="G308" s="95">
        <f t="shared" si="125"/>
        <v>0</v>
      </c>
      <c r="H308" s="95">
        <f t="shared" si="125"/>
        <v>0</v>
      </c>
      <c r="I308" s="95">
        <f t="shared" si="125"/>
        <v>0</v>
      </c>
      <c r="J308" s="95">
        <f t="shared" si="125"/>
        <v>4684</v>
      </c>
      <c r="K308" s="95">
        <f t="shared" si="125"/>
        <v>0</v>
      </c>
      <c r="L308" s="95">
        <f t="shared" si="125"/>
        <v>21542.560000000001</v>
      </c>
      <c r="M308" s="95">
        <f t="shared" si="125"/>
        <v>19617.900000000001</v>
      </c>
      <c r="N308" s="95">
        <f t="shared" si="125"/>
        <v>25820</v>
      </c>
      <c r="O308" s="95">
        <f t="shared" si="125"/>
        <v>0</v>
      </c>
      <c r="P308" s="95">
        <f t="shared" si="125"/>
        <v>0</v>
      </c>
      <c r="Q308" s="95">
        <f t="shared" si="125"/>
        <v>0</v>
      </c>
      <c r="R308" s="95">
        <f t="shared" si="125"/>
        <v>2980</v>
      </c>
      <c r="S308" s="95">
        <f t="shared" si="125"/>
        <v>0</v>
      </c>
      <c r="T308" s="95">
        <f t="shared" si="125"/>
        <v>0</v>
      </c>
      <c r="U308" s="95">
        <f t="shared" si="125"/>
        <v>0</v>
      </c>
      <c r="V308" s="95">
        <f t="shared" si="125"/>
        <v>0</v>
      </c>
      <c r="W308" s="95">
        <f t="shared" si="125"/>
        <v>0</v>
      </c>
      <c r="X308" s="95">
        <f t="shared" si="125"/>
        <v>0</v>
      </c>
      <c r="Y308" s="95">
        <f>SUM(Y292:Y307)</f>
        <v>167715.25</v>
      </c>
    </row>
    <row r="309" spans="1:25" ht="21" customHeight="1">
      <c r="A309" s="428" t="s">
        <v>175</v>
      </c>
      <c r="B309" s="429"/>
      <c r="C309" s="99">
        <f>+C308+C191</f>
        <v>153470.22999999998</v>
      </c>
      <c r="D309" s="99">
        <f t="shared" ref="D309:Y309" si="126">+D308+D191</f>
        <v>37871.9</v>
      </c>
      <c r="E309" s="99">
        <f t="shared" si="126"/>
        <v>0</v>
      </c>
      <c r="F309" s="99">
        <f t="shared" si="126"/>
        <v>0</v>
      </c>
      <c r="G309" s="99">
        <f t="shared" si="126"/>
        <v>0</v>
      </c>
      <c r="H309" s="99">
        <f t="shared" si="126"/>
        <v>0</v>
      </c>
      <c r="I309" s="99">
        <f t="shared" si="126"/>
        <v>0</v>
      </c>
      <c r="J309" s="99">
        <f t="shared" si="126"/>
        <v>12074</v>
      </c>
      <c r="K309" s="99">
        <f t="shared" si="126"/>
        <v>0</v>
      </c>
      <c r="L309" s="99">
        <f t="shared" si="126"/>
        <v>21757.600000000002</v>
      </c>
      <c r="M309" s="99">
        <f t="shared" si="126"/>
        <v>38659.199999999997</v>
      </c>
      <c r="N309" s="99">
        <f t="shared" si="126"/>
        <v>55964.41</v>
      </c>
      <c r="O309" s="99">
        <f t="shared" si="126"/>
        <v>0</v>
      </c>
      <c r="P309" s="99">
        <f t="shared" si="126"/>
        <v>0</v>
      </c>
      <c r="Q309" s="99">
        <f t="shared" si="126"/>
        <v>0</v>
      </c>
      <c r="R309" s="99">
        <f t="shared" si="126"/>
        <v>2980</v>
      </c>
      <c r="S309" s="99">
        <f t="shared" si="126"/>
        <v>0</v>
      </c>
      <c r="T309" s="99">
        <f t="shared" si="126"/>
        <v>0</v>
      </c>
      <c r="U309" s="99">
        <f t="shared" si="126"/>
        <v>0</v>
      </c>
      <c r="V309" s="99">
        <f t="shared" si="126"/>
        <v>0</v>
      </c>
      <c r="W309" s="99">
        <f t="shared" si="126"/>
        <v>10361</v>
      </c>
      <c r="X309" s="99">
        <f t="shared" si="126"/>
        <v>0</v>
      </c>
      <c r="Y309" s="99">
        <f t="shared" si="126"/>
        <v>333138.33999999997</v>
      </c>
    </row>
    <row r="310" spans="1:25" ht="21" customHeight="1">
      <c r="A310" s="432" t="s">
        <v>391</v>
      </c>
      <c r="B310" s="433"/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67"/>
      <c r="P310" s="167"/>
      <c r="Q310" s="167"/>
      <c r="R310" s="100"/>
      <c r="S310" s="100"/>
      <c r="T310" s="100"/>
      <c r="U310" s="100"/>
      <c r="V310" s="100"/>
      <c r="W310" s="100"/>
      <c r="X310" s="100"/>
      <c r="Y310" s="101">
        <f t="shared" ref="Y310" si="127">SUM(C310:X310)</f>
        <v>0</v>
      </c>
    </row>
    <row r="311" spans="1:25" ht="21" customHeight="1">
      <c r="A311" s="93">
        <v>340100</v>
      </c>
      <c r="B311" s="68" t="s">
        <v>202</v>
      </c>
      <c r="C311" s="70">
        <v>20210.61</v>
      </c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164"/>
      <c r="P311" s="164"/>
      <c r="Q311" s="164"/>
      <c r="R311" s="70"/>
      <c r="S311" s="70"/>
      <c r="T311" s="70"/>
      <c r="U311" s="70"/>
      <c r="V311" s="70"/>
      <c r="W311" s="70">
        <v>47775.02</v>
      </c>
      <c r="X311" s="70"/>
      <c r="Y311" s="95">
        <f>SUM(C311:X311)</f>
        <v>67985.63</v>
      </c>
    </row>
    <row r="312" spans="1:25" ht="21" customHeight="1">
      <c r="A312" s="93">
        <v>340300</v>
      </c>
      <c r="B312" s="68" t="s">
        <v>203</v>
      </c>
      <c r="C312" s="70">
        <v>421.26</v>
      </c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164"/>
      <c r="P312" s="164"/>
      <c r="Q312" s="164"/>
      <c r="R312" s="70"/>
      <c r="S312" s="70"/>
      <c r="T312" s="70"/>
      <c r="U312" s="70"/>
      <c r="V312" s="70"/>
      <c r="W312" s="70"/>
      <c r="X312" s="70"/>
      <c r="Y312" s="95">
        <f t="shared" ref="Y312:Y314" si="128">SUM(C312:X312)</f>
        <v>421.26</v>
      </c>
    </row>
    <row r="313" spans="1:25" ht="21" customHeight="1">
      <c r="A313" s="93">
        <v>340400</v>
      </c>
      <c r="B313" s="68" t="s">
        <v>204</v>
      </c>
      <c r="C313" s="70">
        <v>5978</v>
      </c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164"/>
      <c r="P313" s="164"/>
      <c r="Q313" s="164"/>
      <c r="R313" s="70"/>
      <c r="S313" s="70"/>
      <c r="T313" s="70"/>
      <c r="U313" s="70"/>
      <c r="V313" s="70"/>
      <c r="W313" s="70"/>
      <c r="X313" s="70"/>
      <c r="Y313" s="95">
        <f t="shared" si="128"/>
        <v>5978</v>
      </c>
    </row>
    <row r="314" spans="1:25" ht="21" customHeight="1">
      <c r="A314" s="96">
        <v>340500</v>
      </c>
      <c r="B314" s="69" t="s">
        <v>205</v>
      </c>
      <c r="C314" s="70">
        <v>8560</v>
      </c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165"/>
      <c r="P314" s="165"/>
      <c r="Q314" s="165"/>
      <c r="R314" s="76"/>
      <c r="S314" s="76"/>
      <c r="T314" s="76"/>
      <c r="U314" s="76"/>
      <c r="V314" s="76"/>
      <c r="W314" s="76"/>
      <c r="X314" s="76"/>
      <c r="Y314" s="98">
        <f t="shared" si="128"/>
        <v>8560</v>
      </c>
    </row>
    <row r="315" spans="1:25" ht="21" customHeight="1">
      <c r="A315" s="426" t="s">
        <v>174</v>
      </c>
      <c r="B315" s="427"/>
      <c r="C315" s="95">
        <f>SUM(C311:C314)</f>
        <v>35169.869999999995</v>
      </c>
      <c r="D315" s="95">
        <f t="shared" ref="D315:Y315" si="129">SUM(D311:D314)</f>
        <v>0</v>
      </c>
      <c r="E315" s="95">
        <f t="shared" si="129"/>
        <v>0</v>
      </c>
      <c r="F315" s="95">
        <f t="shared" si="129"/>
        <v>0</v>
      </c>
      <c r="G315" s="95">
        <f t="shared" si="129"/>
        <v>0</v>
      </c>
      <c r="H315" s="95">
        <f t="shared" si="129"/>
        <v>0</v>
      </c>
      <c r="I315" s="95">
        <f t="shared" si="129"/>
        <v>0</v>
      </c>
      <c r="J315" s="95">
        <f t="shared" si="129"/>
        <v>0</v>
      </c>
      <c r="K315" s="95">
        <f t="shared" si="129"/>
        <v>0</v>
      </c>
      <c r="L315" s="95">
        <f t="shared" si="129"/>
        <v>0</v>
      </c>
      <c r="M315" s="95">
        <f t="shared" si="129"/>
        <v>0</v>
      </c>
      <c r="N315" s="95">
        <f t="shared" si="129"/>
        <v>0</v>
      </c>
      <c r="O315" s="95">
        <f t="shared" si="129"/>
        <v>0</v>
      </c>
      <c r="P315" s="95">
        <f t="shared" si="129"/>
        <v>0</v>
      </c>
      <c r="Q315" s="95">
        <f t="shared" si="129"/>
        <v>0</v>
      </c>
      <c r="R315" s="95">
        <f t="shared" si="129"/>
        <v>0</v>
      </c>
      <c r="S315" s="95">
        <f t="shared" si="129"/>
        <v>0</v>
      </c>
      <c r="T315" s="95">
        <f t="shared" si="129"/>
        <v>0</v>
      </c>
      <c r="U315" s="95">
        <f t="shared" si="129"/>
        <v>0</v>
      </c>
      <c r="V315" s="95">
        <f t="shared" si="129"/>
        <v>0</v>
      </c>
      <c r="W315" s="95">
        <f t="shared" si="129"/>
        <v>47775.02</v>
      </c>
      <c r="X315" s="95">
        <f t="shared" si="129"/>
        <v>0</v>
      </c>
      <c r="Y315" s="95">
        <f t="shared" si="129"/>
        <v>82944.89</v>
      </c>
    </row>
    <row r="316" spans="1:25" ht="21" customHeight="1">
      <c r="A316" s="428" t="s">
        <v>175</v>
      </c>
      <c r="B316" s="429"/>
      <c r="C316" s="99">
        <f>+C315+C198</f>
        <v>92011.81</v>
      </c>
      <c r="D316" s="99">
        <f t="shared" ref="D316:Y316" si="130">+D315+D198</f>
        <v>0</v>
      </c>
      <c r="E316" s="99">
        <f t="shared" si="130"/>
        <v>0</v>
      </c>
      <c r="F316" s="99">
        <f t="shared" si="130"/>
        <v>0</v>
      </c>
      <c r="G316" s="99">
        <f t="shared" si="130"/>
        <v>0</v>
      </c>
      <c r="H316" s="99">
        <f t="shared" si="130"/>
        <v>0</v>
      </c>
      <c r="I316" s="99">
        <f t="shared" si="130"/>
        <v>0</v>
      </c>
      <c r="J316" s="99">
        <f t="shared" si="130"/>
        <v>0</v>
      </c>
      <c r="K316" s="99">
        <f t="shared" si="130"/>
        <v>0</v>
      </c>
      <c r="L316" s="99">
        <f t="shared" si="130"/>
        <v>0</v>
      </c>
      <c r="M316" s="99">
        <f t="shared" si="130"/>
        <v>0</v>
      </c>
      <c r="N316" s="99">
        <f t="shared" si="130"/>
        <v>0</v>
      </c>
      <c r="O316" s="99">
        <f t="shared" si="130"/>
        <v>0</v>
      </c>
      <c r="P316" s="99">
        <f t="shared" si="130"/>
        <v>0</v>
      </c>
      <c r="Q316" s="99">
        <f t="shared" si="130"/>
        <v>0</v>
      </c>
      <c r="R316" s="99">
        <f t="shared" si="130"/>
        <v>0</v>
      </c>
      <c r="S316" s="99">
        <f t="shared" si="130"/>
        <v>0</v>
      </c>
      <c r="T316" s="99">
        <f t="shared" si="130"/>
        <v>0</v>
      </c>
      <c r="U316" s="99">
        <f t="shared" si="130"/>
        <v>0</v>
      </c>
      <c r="V316" s="99">
        <f t="shared" si="130"/>
        <v>0</v>
      </c>
      <c r="W316" s="99">
        <f t="shared" si="130"/>
        <v>141968.04999999999</v>
      </c>
      <c r="X316" s="99">
        <f t="shared" si="130"/>
        <v>0</v>
      </c>
      <c r="Y316" s="99">
        <f t="shared" si="130"/>
        <v>233979.86000000004</v>
      </c>
    </row>
    <row r="317" spans="1:25" ht="21" customHeight="1">
      <c r="A317" s="432" t="s">
        <v>392</v>
      </c>
      <c r="B317" s="433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67"/>
      <c r="P317" s="167"/>
      <c r="Q317" s="167"/>
      <c r="R317" s="100"/>
      <c r="S317" s="100"/>
      <c r="T317" s="100"/>
      <c r="U317" s="100"/>
      <c r="V317" s="100"/>
      <c r="W317" s="100"/>
      <c r="X317" s="100"/>
      <c r="Y317" s="101">
        <f t="shared" ref="Y317:Y329" si="131">SUM(C317:X317)</f>
        <v>0</v>
      </c>
    </row>
    <row r="318" spans="1:25" ht="21" customHeight="1">
      <c r="A318" s="93">
        <v>410400</v>
      </c>
      <c r="B318" s="68" t="s">
        <v>206</v>
      </c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164"/>
      <c r="P318" s="164"/>
      <c r="Q318" s="164"/>
      <c r="R318" s="70"/>
      <c r="S318" s="70"/>
      <c r="T318" s="70"/>
      <c r="U318" s="70"/>
      <c r="V318" s="70"/>
      <c r="W318" s="70"/>
      <c r="X318" s="70"/>
      <c r="Y318" s="95">
        <f t="shared" si="131"/>
        <v>0</v>
      </c>
    </row>
    <row r="319" spans="1:25" ht="21" customHeight="1">
      <c r="A319" s="93">
        <v>410200</v>
      </c>
      <c r="B319" s="68" t="s">
        <v>224</v>
      </c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164"/>
      <c r="P319" s="164"/>
      <c r="Q319" s="164"/>
      <c r="R319" s="70"/>
      <c r="S319" s="70"/>
      <c r="T319" s="70"/>
      <c r="U319" s="70"/>
      <c r="V319" s="70"/>
      <c r="W319" s="70"/>
      <c r="X319" s="70"/>
      <c r="Y319" s="95">
        <f t="shared" si="131"/>
        <v>0</v>
      </c>
    </row>
    <row r="320" spans="1:25" ht="21" customHeight="1">
      <c r="A320" s="93">
        <v>410300</v>
      </c>
      <c r="B320" s="68" t="s">
        <v>207</v>
      </c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164"/>
      <c r="P320" s="164"/>
      <c r="Q320" s="164"/>
      <c r="R320" s="70"/>
      <c r="S320" s="70"/>
      <c r="T320" s="70"/>
      <c r="U320" s="70"/>
      <c r="V320" s="70"/>
      <c r="W320" s="70"/>
      <c r="X320" s="70"/>
      <c r="Y320" s="95">
        <f t="shared" si="131"/>
        <v>0</v>
      </c>
    </row>
    <row r="321" spans="1:25" ht="21" customHeight="1">
      <c r="A321" s="93">
        <v>410400</v>
      </c>
      <c r="B321" s="68" t="s">
        <v>225</v>
      </c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165"/>
      <c r="P321" s="165"/>
      <c r="Q321" s="165"/>
      <c r="R321" s="76"/>
      <c r="S321" s="76"/>
      <c r="T321" s="76"/>
      <c r="U321" s="76"/>
      <c r="V321" s="76"/>
      <c r="W321" s="76"/>
      <c r="X321" s="76"/>
      <c r="Y321" s="95">
        <f t="shared" si="131"/>
        <v>0</v>
      </c>
    </row>
    <row r="322" spans="1:25" ht="21" customHeight="1">
      <c r="A322" s="93">
        <v>410500</v>
      </c>
      <c r="B322" s="68" t="s">
        <v>226</v>
      </c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165"/>
      <c r="P322" s="165"/>
      <c r="Q322" s="165"/>
      <c r="R322" s="76"/>
      <c r="S322" s="76"/>
      <c r="T322" s="76"/>
      <c r="U322" s="76"/>
      <c r="V322" s="76"/>
      <c r="W322" s="76"/>
      <c r="X322" s="76"/>
      <c r="Y322" s="95">
        <f t="shared" si="131"/>
        <v>0</v>
      </c>
    </row>
    <row r="323" spans="1:25" ht="21" customHeight="1">
      <c r="A323" s="93">
        <v>410600</v>
      </c>
      <c r="B323" s="68" t="s">
        <v>227</v>
      </c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165"/>
      <c r="P323" s="165"/>
      <c r="Q323" s="165"/>
      <c r="R323" s="76"/>
      <c r="S323" s="76"/>
      <c r="T323" s="76"/>
      <c r="U323" s="76"/>
      <c r="V323" s="76"/>
      <c r="W323" s="76"/>
      <c r="X323" s="76"/>
      <c r="Y323" s="95">
        <f t="shared" si="131"/>
        <v>0</v>
      </c>
    </row>
    <row r="324" spans="1:25" ht="21" customHeight="1">
      <c r="A324" s="93">
        <v>410700</v>
      </c>
      <c r="B324" s="68" t="s">
        <v>208</v>
      </c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164"/>
      <c r="P324" s="164"/>
      <c r="Q324" s="164"/>
      <c r="R324" s="70"/>
      <c r="S324" s="70"/>
      <c r="T324" s="70"/>
      <c r="U324" s="70"/>
      <c r="V324" s="70"/>
      <c r="W324" s="70"/>
      <c r="X324" s="70"/>
      <c r="Y324" s="95">
        <f t="shared" si="131"/>
        <v>0</v>
      </c>
    </row>
    <row r="325" spans="1:25" ht="21" customHeight="1">
      <c r="A325" s="93">
        <v>410800</v>
      </c>
      <c r="B325" s="68" t="s">
        <v>228</v>
      </c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165"/>
      <c r="P325" s="165"/>
      <c r="Q325" s="165"/>
      <c r="R325" s="76"/>
      <c r="S325" s="76"/>
      <c r="T325" s="76"/>
      <c r="U325" s="76"/>
      <c r="V325" s="76"/>
      <c r="W325" s="76"/>
      <c r="X325" s="76"/>
      <c r="Y325" s="95">
        <f t="shared" si="131"/>
        <v>0</v>
      </c>
    </row>
    <row r="326" spans="1:25" ht="21" customHeight="1">
      <c r="A326" s="93">
        <v>410900</v>
      </c>
      <c r="B326" s="68" t="s">
        <v>243</v>
      </c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165"/>
      <c r="P326" s="165"/>
      <c r="Q326" s="165"/>
      <c r="R326" s="76"/>
      <c r="S326" s="76"/>
      <c r="T326" s="76"/>
      <c r="U326" s="76"/>
      <c r="V326" s="76"/>
      <c r="W326" s="76"/>
      <c r="X326" s="76"/>
      <c r="Y326" s="95">
        <f t="shared" si="131"/>
        <v>0</v>
      </c>
    </row>
    <row r="327" spans="1:25" ht="21" customHeight="1">
      <c r="A327" s="93">
        <v>411000</v>
      </c>
      <c r="B327" s="68" t="s">
        <v>295</v>
      </c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165"/>
      <c r="P327" s="165"/>
      <c r="Q327" s="165"/>
      <c r="R327" s="76"/>
      <c r="S327" s="76"/>
      <c r="T327" s="76"/>
      <c r="U327" s="76"/>
      <c r="V327" s="76"/>
      <c r="W327" s="76"/>
      <c r="X327" s="76"/>
      <c r="Y327" s="95">
        <f t="shared" si="131"/>
        <v>0</v>
      </c>
    </row>
    <row r="328" spans="1:25" ht="21" customHeight="1">
      <c r="A328" s="93">
        <v>411100</v>
      </c>
      <c r="B328" s="68" t="s">
        <v>260</v>
      </c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165"/>
      <c r="P328" s="165"/>
      <c r="Q328" s="165"/>
      <c r="R328" s="76"/>
      <c r="S328" s="76"/>
      <c r="T328" s="76"/>
      <c r="U328" s="76"/>
      <c r="V328" s="76"/>
      <c r="W328" s="76"/>
      <c r="X328" s="76"/>
      <c r="Y328" s="95">
        <f t="shared" si="131"/>
        <v>0</v>
      </c>
    </row>
    <row r="329" spans="1:25" ht="21" customHeight="1">
      <c r="A329" s="93">
        <v>411300</v>
      </c>
      <c r="B329" s="68" t="s">
        <v>296</v>
      </c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165"/>
      <c r="P329" s="165"/>
      <c r="Q329" s="165"/>
      <c r="R329" s="76"/>
      <c r="S329" s="76"/>
      <c r="T329" s="76"/>
      <c r="U329" s="76"/>
      <c r="V329" s="76"/>
      <c r="W329" s="76"/>
      <c r="X329" s="76"/>
      <c r="Y329" s="95">
        <f t="shared" si="131"/>
        <v>0</v>
      </c>
    </row>
    <row r="330" spans="1:25" ht="21" customHeight="1">
      <c r="A330" s="93">
        <v>411600</v>
      </c>
      <c r="B330" s="68" t="s">
        <v>229</v>
      </c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164"/>
      <c r="P330" s="164"/>
      <c r="Q330" s="164"/>
      <c r="R330" s="70"/>
      <c r="S330" s="70"/>
      <c r="T330" s="70"/>
      <c r="U330" s="70"/>
      <c r="V330" s="70"/>
      <c r="W330" s="70"/>
      <c r="X330" s="70"/>
      <c r="Y330" s="95">
        <f>SUM(C330:X330)</f>
        <v>0</v>
      </c>
    </row>
    <row r="331" spans="1:25" ht="21" customHeight="1">
      <c r="A331" s="93">
        <v>411800</v>
      </c>
      <c r="B331" s="68" t="s">
        <v>209</v>
      </c>
      <c r="C331" s="70"/>
      <c r="D331" s="70"/>
      <c r="E331" s="70"/>
      <c r="F331" s="70"/>
      <c r="G331" s="70">
        <v>0</v>
      </c>
      <c r="H331" s="70"/>
      <c r="I331" s="70"/>
      <c r="J331" s="70"/>
      <c r="K331" s="70"/>
      <c r="L331" s="70"/>
      <c r="M331" s="70"/>
      <c r="N331" s="70"/>
      <c r="O331" s="164"/>
      <c r="P331" s="164"/>
      <c r="Q331" s="164"/>
      <c r="R331" s="70"/>
      <c r="S331" s="70"/>
      <c r="T331" s="70"/>
      <c r="U331" s="70"/>
      <c r="V331" s="70"/>
      <c r="W331" s="70">
        <v>0</v>
      </c>
      <c r="X331" s="70"/>
      <c r="Y331" s="95">
        <f>SUM(C331:X331)</f>
        <v>0</v>
      </c>
    </row>
    <row r="332" spans="1:25" ht="21" customHeight="1">
      <c r="A332" s="426" t="s">
        <v>174</v>
      </c>
      <c r="B332" s="427"/>
      <c r="C332" s="95">
        <f>SUM(C318:C331)</f>
        <v>0</v>
      </c>
      <c r="D332" s="95">
        <f t="shared" ref="D332:P332" si="132">SUM(D318:D331)</f>
        <v>0</v>
      </c>
      <c r="E332" s="95">
        <f t="shared" si="132"/>
        <v>0</v>
      </c>
      <c r="F332" s="95">
        <f t="shared" si="132"/>
        <v>0</v>
      </c>
      <c r="G332" s="95">
        <f t="shared" si="132"/>
        <v>0</v>
      </c>
      <c r="H332" s="95">
        <f t="shared" si="132"/>
        <v>0</v>
      </c>
      <c r="I332" s="95">
        <f t="shared" si="132"/>
        <v>0</v>
      </c>
      <c r="J332" s="95">
        <f t="shared" si="132"/>
        <v>0</v>
      </c>
      <c r="K332" s="95">
        <f t="shared" si="132"/>
        <v>0</v>
      </c>
      <c r="L332" s="95">
        <f t="shared" si="132"/>
        <v>0</v>
      </c>
      <c r="M332" s="95">
        <f t="shared" si="132"/>
        <v>0</v>
      </c>
      <c r="N332" s="95">
        <f t="shared" si="132"/>
        <v>0</v>
      </c>
      <c r="O332" s="95">
        <f t="shared" si="132"/>
        <v>0</v>
      </c>
      <c r="P332" s="95">
        <f t="shared" si="132"/>
        <v>0</v>
      </c>
      <c r="Q332" s="166">
        <f t="shared" ref="Q332:X332" si="133">SUM(Q318:Q331)</f>
        <v>0</v>
      </c>
      <c r="R332" s="95">
        <f t="shared" si="133"/>
        <v>0</v>
      </c>
      <c r="S332" s="95">
        <f t="shared" si="133"/>
        <v>0</v>
      </c>
      <c r="T332" s="95">
        <f t="shared" si="133"/>
        <v>0</v>
      </c>
      <c r="U332" s="95">
        <f t="shared" si="133"/>
        <v>0</v>
      </c>
      <c r="V332" s="95">
        <f t="shared" si="133"/>
        <v>0</v>
      </c>
      <c r="W332" s="95">
        <f t="shared" si="133"/>
        <v>0</v>
      </c>
      <c r="X332" s="95">
        <f t="shared" si="133"/>
        <v>0</v>
      </c>
      <c r="Y332" s="95">
        <f>SUM(C332:X332)</f>
        <v>0</v>
      </c>
    </row>
    <row r="333" spans="1:25" ht="21" customHeight="1">
      <c r="A333" s="428" t="s">
        <v>175</v>
      </c>
      <c r="B333" s="429"/>
      <c r="C333" s="99">
        <f>+C332+C215</f>
        <v>0</v>
      </c>
      <c r="D333" s="99">
        <f t="shared" ref="D333:Y333" si="134">+D332+D215</f>
        <v>0</v>
      </c>
      <c r="E333" s="99">
        <f t="shared" si="134"/>
        <v>0</v>
      </c>
      <c r="F333" s="99">
        <f t="shared" si="134"/>
        <v>0</v>
      </c>
      <c r="G333" s="99">
        <f t="shared" si="134"/>
        <v>0</v>
      </c>
      <c r="H333" s="99">
        <f t="shared" si="134"/>
        <v>0</v>
      </c>
      <c r="I333" s="99">
        <f t="shared" si="134"/>
        <v>0</v>
      </c>
      <c r="J333" s="99">
        <f t="shared" si="134"/>
        <v>0</v>
      </c>
      <c r="K333" s="99">
        <f t="shared" si="134"/>
        <v>0</v>
      </c>
      <c r="L333" s="99">
        <f t="shared" si="134"/>
        <v>0</v>
      </c>
      <c r="M333" s="99">
        <f t="shared" si="134"/>
        <v>0</v>
      </c>
      <c r="N333" s="99">
        <f t="shared" si="134"/>
        <v>0</v>
      </c>
      <c r="O333" s="99">
        <f t="shared" si="134"/>
        <v>0</v>
      </c>
      <c r="P333" s="99">
        <f t="shared" si="134"/>
        <v>0</v>
      </c>
      <c r="Q333" s="99">
        <f t="shared" si="134"/>
        <v>0</v>
      </c>
      <c r="R333" s="99">
        <f t="shared" si="134"/>
        <v>0</v>
      </c>
      <c r="S333" s="99">
        <f t="shared" si="134"/>
        <v>0</v>
      </c>
      <c r="T333" s="99">
        <f t="shared" si="134"/>
        <v>0</v>
      </c>
      <c r="U333" s="99">
        <f t="shared" si="134"/>
        <v>0</v>
      </c>
      <c r="V333" s="99">
        <f t="shared" si="134"/>
        <v>0</v>
      </c>
      <c r="W333" s="99">
        <f t="shared" si="134"/>
        <v>0</v>
      </c>
      <c r="X333" s="99">
        <f t="shared" si="134"/>
        <v>0</v>
      </c>
      <c r="Y333" s="99">
        <f t="shared" si="134"/>
        <v>0</v>
      </c>
    </row>
    <row r="334" spans="1:25" ht="21" customHeight="1">
      <c r="A334" s="435" t="s">
        <v>139</v>
      </c>
      <c r="B334" s="435"/>
      <c r="C334" s="434" t="s">
        <v>141</v>
      </c>
      <c r="D334" s="434"/>
      <c r="E334" s="437" t="s">
        <v>144</v>
      </c>
      <c r="F334" s="438"/>
      <c r="G334" s="434" t="s">
        <v>146</v>
      </c>
      <c r="H334" s="435"/>
      <c r="I334" s="437" t="s">
        <v>160</v>
      </c>
      <c r="J334" s="438"/>
      <c r="K334" s="339" t="s">
        <v>161</v>
      </c>
      <c r="L334" s="437" t="s">
        <v>162</v>
      </c>
      <c r="M334" s="439"/>
      <c r="N334" s="439"/>
      <c r="O334" s="438"/>
      <c r="P334" s="437" t="s">
        <v>163</v>
      </c>
      <c r="Q334" s="438"/>
      <c r="R334" s="437" t="s">
        <v>164</v>
      </c>
      <c r="S334" s="439"/>
      <c r="T334" s="438"/>
      <c r="U334" s="434" t="s">
        <v>165</v>
      </c>
      <c r="V334" s="435"/>
      <c r="W334" s="339" t="s">
        <v>212</v>
      </c>
      <c r="X334" s="339" t="s">
        <v>166</v>
      </c>
      <c r="Y334" s="436" t="s">
        <v>17</v>
      </c>
    </row>
    <row r="335" spans="1:25" ht="21" customHeight="1">
      <c r="A335" s="435" t="s">
        <v>140</v>
      </c>
      <c r="B335" s="435"/>
      <c r="C335" s="370" t="s">
        <v>142</v>
      </c>
      <c r="D335" s="339" t="s">
        <v>143</v>
      </c>
      <c r="E335" s="339" t="s">
        <v>145</v>
      </c>
      <c r="F335" s="339" t="s">
        <v>214</v>
      </c>
      <c r="G335" s="339" t="s">
        <v>147</v>
      </c>
      <c r="H335" s="339" t="s">
        <v>148</v>
      </c>
      <c r="I335" s="339" t="s">
        <v>149</v>
      </c>
      <c r="J335" s="339" t="s">
        <v>150</v>
      </c>
      <c r="K335" s="339" t="s">
        <v>151</v>
      </c>
      <c r="L335" s="339" t="s">
        <v>152</v>
      </c>
      <c r="M335" s="339" t="s">
        <v>153</v>
      </c>
      <c r="N335" s="339" t="s">
        <v>238</v>
      </c>
      <c r="O335" s="269" t="s">
        <v>331</v>
      </c>
      <c r="P335" s="340" t="s">
        <v>303</v>
      </c>
      <c r="Q335" s="340" t="s">
        <v>154</v>
      </c>
      <c r="R335" s="339" t="s">
        <v>155</v>
      </c>
      <c r="S335" s="339" t="s">
        <v>156</v>
      </c>
      <c r="T335" s="339" t="s">
        <v>216</v>
      </c>
      <c r="U335" s="339" t="s">
        <v>157</v>
      </c>
      <c r="V335" s="339" t="s">
        <v>158</v>
      </c>
      <c r="W335" s="339" t="s">
        <v>213</v>
      </c>
      <c r="X335" s="339" t="s">
        <v>159</v>
      </c>
      <c r="Y335" s="436"/>
    </row>
    <row r="336" spans="1:25" ht="21" customHeight="1">
      <c r="A336" s="432" t="s">
        <v>393</v>
      </c>
      <c r="B336" s="433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67"/>
      <c r="P336" s="167"/>
      <c r="Q336" s="167"/>
      <c r="R336" s="100"/>
      <c r="S336" s="100"/>
      <c r="T336" s="100"/>
      <c r="U336" s="100"/>
      <c r="V336" s="100"/>
      <c r="W336" s="100"/>
      <c r="X336" s="100"/>
      <c r="Y336" s="101">
        <f>SUM(C336:X336)</f>
        <v>0</v>
      </c>
    </row>
    <row r="337" spans="1:25" ht="21" customHeight="1">
      <c r="A337" s="93">
        <v>420700</v>
      </c>
      <c r="B337" s="94" t="s">
        <v>394</v>
      </c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164"/>
      <c r="P337" s="164"/>
      <c r="Q337" s="164"/>
      <c r="R337" s="70"/>
      <c r="S337" s="70"/>
      <c r="T337" s="70"/>
      <c r="U337" s="70"/>
      <c r="V337" s="70"/>
      <c r="W337" s="70"/>
      <c r="X337" s="70"/>
      <c r="Y337" s="95">
        <f>SUM(C337:X337)</f>
        <v>0</v>
      </c>
    </row>
    <row r="338" spans="1:25" ht="21" customHeight="1">
      <c r="A338" s="96">
        <v>421000</v>
      </c>
      <c r="B338" s="97" t="s">
        <v>395</v>
      </c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165"/>
      <c r="P338" s="165"/>
      <c r="Q338" s="165"/>
      <c r="R338" s="76"/>
      <c r="S338" s="76"/>
      <c r="T338" s="76"/>
      <c r="U338" s="76"/>
      <c r="V338" s="76"/>
      <c r="W338" s="76"/>
      <c r="X338" s="76"/>
      <c r="Y338" s="95">
        <f t="shared" ref="Y338:Y339" si="135">SUM(C338:X338)</f>
        <v>0</v>
      </c>
    </row>
    <row r="339" spans="1:25" ht="21" customHeight="1">
      <c r="A339" s="96">
        <v>421100</v>
      </c>
      <c r="B339" s="97" t="s">
        <v>211</v>
      </c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165"/>
      <c r="P339" s="165"/>
      <c r="Q339" s="165"/>
      <c r="R339" s="76"/>
      <c r="S339" s="76"/>
      <c r="T339" s="76"/>
      <c r="U339" s="76"/>
      <c r="V339" s="76"/>
      <c r="W339" s="76"/>
      <c r="X339" s="76"/>
      <c r="Y339" s="95">
        <f t="shared" si="135"/>
        <v>0</v>
      </c>
    </row>
    <row r="340" spans="1:25" ht="21" customHeight="1">
      <c r="A340" s="426" t="s">
        <v>174</v>
      </c>
      <c r="B340" s="427"/>
      <c r="C340" s="95">
        <f>SUM(C337:C339)</f>
        <v>0</v>
      </c>
      <c r="D340" s="95">
        <f t="shared" ref="D340:W340" si="136">SUM(D337:D339)</f>
        <v>0</v>
      </c>
      <c r="E340" s="95">
        <f t="shared" si="136"/>
        <v>0</v>
      </c>
      <c r="F340" s="95">
        <f t="shared" si="136"/>
        <v>0</v>
      </c>
      <c r="G340" s="95">
        <f t="shared" si="136"/>
        <v>0</v>
      </c>
      <c r="H340" s="95">
        <f t="shared" si="136"/>
        <v>0</v>
      </c>
      <c r="I340" s="95">
        <f t="shared" si="136"/>
        <v>0</v>
      </c>
      <c r="J340" s="95">
        <f t="shared" si="136"/>
        <v>0</v>
      </c>
      <c r="K340" s="95">
        <f t="shared" si="136"/>
        <v>0</v>
      </c>
      <c r="L340" s="95">
        <f t="shared" si="136"/>
        <v>0</v>
      </c>
      <c r="M340" s="95">
        <f t="shared" si="136"/>
        <v>0</v>
      </c>
      <c r="N340" s="95">
        <f t="shared" si="136"/>
        <v>0</v>
      </c>
      <c r="O340" s="95">
        <f t="shared" si="136"/>
        <v>0</v>
      </c>
      <c r="P340" s="95">
        <f t="shared" si="136"/>
        <v>0</v>
      </c>
      <c r="Q340" s="95">
        <f t="shared" si="136"/>
        <v>0</v>
      </c>
      <c r="R340" s="95">
        <f t="shared" si="136"/>
        <v>0</v>
      </c>
      <c r="S340" s="95">
        <f t="shared" si="136"/>
        <v>0</v>
      </c>
      <c r="T340" s="95">
        <f t="shared" si="136"/>
        <v>0</v>
      </c>
      <c r="U340" s="95">
        <f t="shared" si="136"/>
        <v>0</v>
      </c>
      <c r="V340" s="95">
        <f t="shared" si="136"/>
        <v>0</v>
      </c>
      <c r="W340" s="95">
        <f t="shared" si="136"/>
        <v>0</v>
      </c>
      <c r="X340" s="95">
        <f>SUM(X337:X339)</f>
        <v>0</v>
      </c>
      <c r="Y340" s="95">
        <f>SUM(C340:X340)</f>
        <v>0</v>
      </c>
    </row>
    <row r="341" spans="1:25" ht="21" customHeight="1">
      <c r="A341" s="428" t="s">
        <v>175</v>
      </c>
      <c r="B341" s="429"/>
      <c r="C341" s="99">
        <f>+C340+C223</f>
        <v>0</v>
      </c>
      <c r="D341" s="99">
        <f t="shared" ref="D341:Y341" si="137">+D340+D223</f>
        <v>0</v>
      </c>
      <c r="E341" s="99">
        <f t="shared" si="137"/>
        <v>0</v>
      </c>
      <c r="F341" s="99">
        <f t="shared" si="137"/>
        <v>0</v>
      </c>
      <c r="G341" s="99">
        <f t="shared" si="137"/>
        <v>0</v>
      </c>
      <c r="H341" s="99">
        <f t="shared" si="137"/>
        <v>0</v>
      </c>
      <c r="I341" s="99">
        <f t="shared" si="137"/>
        <v>0</v>
      </c>
      <c r="J341" s="99">
        <f t="shared" si="137"/>
        <v>0</v>
      </c>
      <c r="K341" s="99">
        <f t="shared" si="137"/>
        <v>0</v>
      </c>
      <c r="L341" s="99">
        <f t="shared" si="137"/>
        <v>0</v>
      </c>
      <c r="M341" s="99">
        <f t="shared" si="137"/>
        <v>0</v>
      </c>
      <c r="N341" s="99">
        <f t="shared" si="137"/>
        <v>0</v>
      </c>
      <c r="O341" s="99">
        <f t="shared" si="137"/>
        <v>0</v>
      </c>
      <c r="P341" s="99">
        <f t="shared" si="137"/>
        <v>0</v>
      </c>
      <c r="Q341" s="99">
        <f t="shared" si="137"/>
        <v>0</v>
      </c>
      <c r="R341" s="99">
        <f t="shared" si="137"/>
        <v>0</v>
      </c>
      <c r="S341" s="99">
        <f t="shared" si="137"/>
        <v>0</v>
      </c>
      <c r="T341" s="99">
        <f t="shared" si="137"/>
        <v>0</v>
      </c>
      <c r="U341" s="99">
        <f t="shared" si="137"/>
        <v>0</v>
      </c>
      <c r="V341" s="99">
        <f t="shared" si="137"/>
        <v>0</v>
      </c>
      <c r="W341" s="99">
        <f t="shared" si="137"/>
        <v>0</v>
      </c>
      <c r="X341" s="99">
        <f t="shared" si="137"/>
        <v>0</v>
      </c>
      <c r="Y341" s="99">
        <f t="shared" si="137"/>
        <v>0</v>
      </c>
    </row>
    <row r="342" spans="1:25" ht="21" customHeight="1">
      <c r="A342" s="432" t="s">
        <v>397</v>
      </c>
      <c r="B342" s="433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67"/>
      <c r="P342" s="167"/>
      <c r="Q342" s="167"/>
      <c r="R342" s="100"/>
      <c r="S342" s="100"/>
      <c r="T342" s="100"/>
      <c r="U342" s="100"/>
      <c r="V342" s="100"/>
      <c r="W342" s="100"/>
      <c r="X342" s="100"/>
      <c r="Y342" s="101">
        <f t="shared" ref="Y342:Y344" si="138">SUM(C342:X342)</f>
        <v>0</v>
      </c>
    </row>
    <row r="343" spans="1:25" ht="21" customHeight="1">
      <c r="A343" s="93">
        <v>510100</v>
      </c>
      <c r="B343" s="102" t="s">
        <v>12</v>
      </c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164"/>
      <c r="P343" s="164"/>
      <c r="Q343" s="164"/>
      <c r="R343" s="70"/>
      <c r="S343" s="70"/>
      <c r="T343" s="70"/>
      <c r="U343" s="70"/>
      <c r="V343" s="70"/>
      <c r="W343" s="70"/>
      <c r="X343" s="70"/>
      <c r="Y343" s="95">
        <f t="shared" si="138"/>
        <v>0</v>
      </c>
    </row>
    <row r="344" spans="1:25" ht="21" customHeight="1">
      <c r="A344" s="426" t="s">
        <v>174</v>
      </c>
      <c r="B344" s="427"/>
      <c r="C344" s="95">
        <f t="shared" ref="C344:X344" si="139">SUM(C343:C343)</f>
        <v>0</v>
      </c>
      <c r="D344" s="95">
        <f t="shared" si="139"/>
        <v>0</v>
      </c>
      <c r="E344" s="95">
        <f t="shared" si="139"/>
        <v>0</v>
      </c>
      <c r="F344" s="95">
        <f t="shared" si="139"/>
        <v>0</v>
      </c>
      <c r="G344" s="95">
        <f t="shared" si="139"/>
        <v>0</v>
      </c>
      <c r="H344" s="95">
        <f t="shared" si="139"/>
        <v>0</v>
      </c>
      <c r="I344" s="95">
        <f t="shared" si="139"/>
        <v>0</v>
      </c>
      <c r="J344" s="95">
        <f t="shared" si="139"/>
        <v>0</v>
      </c>
      <c r="K344" s="95">
        <f t="shared" si="139"/>
        <v>0</v>
      </c>
      <c r="L344" s="95">
        <f t="shared" si="139"/>
        <v>0</v>
      </c>
      <c r="M344" s="95">
        <f t="shared" si="139"/>
        <v>0</v>
      </c>
      <c r="N344" s="95">
        <f t="shared" si="139"/>
        <v>0</v>
      </c>
      <c r="O344" s="95">
        <f t="shared" si="139"/>
        <v>0</v>
      </c>
      <c r="P344" s="95">
        <f t="shared" si="139"/>
        <v>0</v>
      </c>
      <c r="Q344" s="95">
        <f t="shared" si="139"/>
        <v>0</v>
      </c>
      <c r="R344" s="95">
        <f t="shared" si="139"/>
        <v>0</v>
      </c>
      <c r="S344" s="95">
        <f t="shared" si="139"/>
        <v>0</v>
      </c>
      <c r="T344" s="95">
        <f t="shared" si="139"/>
        <v>0</v>
      </c>
      <c r="U344" s="95">
        <f t="shared" si="139"/>
        <v>0</v>
      </c>
      <c r="V344" s="95">
        <f t="shared" si="139"/>
        <v>0</v>
      </c>
      <c r="W344" s="95">
        <f t="shared" si="139"/>
        <v>0</v>
      </c>
      <c r="X344" s="95">
        <f t="shared" si="139"/>
        <v>0</v>
      </c>
      <c r="Y344" s="95">
        <f t="shared" si="138"/>
        <v>0</v>
      </c>
    </row>
    <row r="345" spans="1:25" ht="21" customHeight="1">
      <c r="A345" s="428" t="s">
        <v>175</v>
      </c>
      <c r="B345" s="429"/>
      <c r="C345" s="99">
        <f>+C344+C227</f>
        <v>0</v>
      </c>
      <c r="D345" s="99">
        <f t="shared" ref="D345:X345" si="140">+D344+D227</f>
        <v>0</v>
      </c>
      <c r="E345" s="99">
        <f t="shared" si="140"/>
        <v>0</v>
      </c>
      <c r="F345" s="99">
        <f t="shared" si="140"/>
        <v>0</v>
      </c>
      <c r="G345" s="99">
        <f t="shared" si="140"/>
        <v>0</v>
      </c>
      <c r="H345" s="99">
        <f t="shared" si="140"/>
        <v>0</v>
      </c>
      <c r="I345" s="99">
        <f t="shared" si="140"/>
        <v>0</v>
      </c>
      <c r="J345" s="99">
        <f t="shared" si="140"/>
        <v>0</v>
      </c>
      <c r="K345" s="99">
        <f t="shared" si="140"/>
        <v>0</v>
      </c>
      <c r="L345" s="99">
        <f t="shared" si="140"/>
        <v>0</v>
      </c>
      <c r="M345" s="99">
        <f t="shared" si="140"/>
        <v>0</v>
      </c>
      <c r="N345" s="99">
        <f t="shared" si="140"/>
        <v>0</v>
      </c>
      <c r="O345" s="99">
        <f t="shared" si="140"/>
        <v>0</v>
      </c>
      <c r="P345" s="99">
        <f t="shared" si="140"/>
        <v>0</v>
      </c>
      <c r="Q345" s="99">
        <f t="shared" si="140"/>
        <v>0</v>
      </c>
      <c r="R345" s="99">
        <f t="shared" si="140"/>
        <v>0</v>
      </c>
      <c r="S345" s="99">
        <f t="shared" si="140"/>
        <v>0</v>
      </c>
      <c r="T345" s="99">
        <f t="shared" si="140"/>
        <v>0</v>
      </c>
      <c r="U345" s="99">
        <f t="shared" si="140"/>
        <v>0</v>
      </c>
      <c r="V345" s="99">
        <f t="shared" si="140"/>
        <v>0</v>
      </c>
      <c r="W345" s="99">
        <f t="shared" si="140"/>
        <v>0</v>
      </c>
      <c r="X345" s="99">
        <f t="shared" si="140"/>
        <v>0</v>
      </c>
      <c r="Y345" s="99">
        <f>+Y344+Y227</f>
        <v>0</v>
      </c>
    </row>
    <row r="346" spans="1:25" ht="21" customHeight="1">
      <c r="A346" s="432" t="s">
        <v>396</v>
      </c>
      <c r="B346" s="433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67"/>
      <c r="P346" s="167"/>
      <c r="Q346" s="167"/>
      <c r="R346" s="100"/>
      <c r="S346" s="100"/>
      <c r="T346" s="100"/>
      <c r="U346" s="100"/>
      <c r="V346" s="100"/>
      <c r="W346" s="100"/>
      <c r="X346" s="100"/>
      <c r="Y346" s="101">
        <f>SUM(C346:X346)</f>
        <v>0</v>
      </c>
    </row>
    <row r="347" spans="1:25" ht="21" customHeight="1">
      <c r="A347" s="93">
        <v>610100</v>
      </c>
      <c r="B347" s="94" t="s">
        <v>398</v>
      </c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164"/>
      <c r="P347" s="164"/>
      <c r="Q347" s="164"/>
      <c r="R347" s="70"/>
      <c r="S347" s="70"/>
      <c r="T347" s="70"/>
      <c r="U347" s="70"/>
      <c r="V347" s="70"/>
      <c r="W347" s="70"/>
      <c r="X347" s="70"/>
      <c r="Y347" s="95">
        <f>SUM(C347:X347)</f>
        <v>0</v>
      </c>
    </row>
    <row r="348" spans="1:25" ht="21" customHeight="1">
      <c r="A348" s="96">
        <v>610200</v>
      </c>
      <c r="B348" s="97" t="s">
        <v>399</v>
      </c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165"/>
      <c r="P348" s="165"/>
      <c r="Q348" s="165"/>
      <c r="R348" s="76"/>
      <c r="S348" s="76"/>
      <c r="T348" s="76"/>
      <c r="U348" s="76"/>
      <c r="V348" s="76"/>
      <c r="W348" s="76"/>
      <c r="X348" s="76"/>
      <c r="Y348" s="95">
        <f t="shared" ref="Y348" si="141">SUM(C348:X348)</f>
        <v>0</v>
      </c>
    </row>
    <row r="349" spans="1:25" ht="21" customHeight="1">
      <c r="A349" s="96">
        <v>610300</v>
      </c>
      <c r="B349" s="97" t="s">
        <v>400</v>
      </c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165"/>
      <c r="P349" s="165"/>
      <c r="Q349" s="165"/>
      <c r="R349" s="76"/>
      <c r="S349" s="76"/>
      <c r="T349" s="76"/>
      <c r="U349" s="76"/>
      <c r="V349" s="76"/>
      <c r="W349" s="76"/>
      <c r="X349" s="76"/>
      <c r="Y349" s="95">
        <f>SUM(C349:X349)</f>
        <v>0</v>
      </c>
    </row>
    <row r="350" spans="1:25" ht="21" customHeight="1">
      <c r="A350" s="96">
        <v>610400</v>
      </c>
      <c r="B350" s="97" t="s">
        <v>401</v>
      </c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165"/>
      <c r="P350" s="165"/>
      <c r="Q350" s="165"/>
      <c r="R350" s="76"/>
      <c r="S350" s="76"/>
      <c r="T350" s="76"/>
      <c r="U350" s="76"/>
      <c r="V350" s="76"/>
      <c r="W350" s="76"/>
      <c r="X350" s="76"/>
      <c r="Y350" s="95">
        <f t="shared" ref="Y350" si="142">SUM(C350:X350)</f>
        <v>0</v>
      </c>
    </row>
    <row r="351" spans="1:25" ht="21" customHeight="1">
      <c r="A351" s="426" t="s">
        <v>174</v>
      </c>
      <c r="B351" s="427"/>
      <c r="C351" s="95">
        <f t="shared" ref="C351:K351" si="143">SUM(C347:C350)</f>
        <v>0</v>
      </c>
      <c r="D351" s="95">
        <f t="shared" si="143"/>
        <v>0</v>
      </c>
      <c r="E351" s="95">
        <f t="shared" si="143"/>
        <v>0</v>
      </c>
      <c r="F351" s="95">
        <f t="shared" si="143"/>
        <v>0</v>
      </c>
      <c r="G351" s="95">
        <f t="shared" si="143"/>
        <v>0</v>
      </c>
      <c r="H351" s="95">
        <f t="shared" si="143"/>
        <v>0</v>
      </c>
      <c r="I351" s="95">
        <f t="shared" si="143"/>
        <v>0</v>
      </c>
      <c r="J351" s="95">
        <f t="shared" si="143"/>
        <v>0</v>
      </c>
      <c r="K351" s="95">
        <f t="shared" si="143"/>
        <v>0</v>
      </c>
      <c r="L351" s="95">
        <f>SUM(L347:L350)</f>
        <v>0</v>
      </c>
      <c r="M351" s="95">
        <f t="shared" ref="M351:W351" si="144">SUM(M347:M350)</f>
        <v>0</v>
      </c>
      <c r="N351" s="95">
        <f t="shared" si="144"/>
        <v>0</v>
      </c>
      <c r="O351" s="95">
        <f t="shared" si="144"/>
        <v>0</v>
      </c>
      <c r="P351" s="95">
        <f t="shared" si="144"/>
        <v>0</v>
      </c>
      <c r="Q351" s="95">
        <f t="shared" si="144"/>
        <v>0</v>
      </c>
      <c r="R351" s="95">
        <f t="shared" si="144"/>
        <v>0</v>
      </c>
      <c r="S351" s="95">
        <f t="shared" si="144"/>
        <v>0</v>
      </c>
      <c r="T351" s="95">
        <f t="shared" si="144"/>
        <v>0</v>
      </c>
      <c r="U351" s="95">
        <f t="shared" si="144"/>
        <v>0</v>
      </c>
      <c r="V351" s="95">
        <f t="shared" si="144"/>
        <v>0</v>
      </c>
      <c r="W351" s="95">
        <f t="shared" si="144"/>
        <v>0</v>
      </c>
      <c r="X351" s="95">
        <f>SUM(X347:X350)</f>
        <v>0</v>
      </c>
      <c r="Y351" s="95">
        <f t="shared" ref="Y351" si="145">SUM(Y347:Y350)</f>
        <v>0</v>
      </c>
    </row>
    <row r="352" spans="1:25" ht="21" customHeight="1">
      <c r="A352" s="428" t="s">
        <v>175</v>
      </c>
      <c r="B352" s="429"/>
      <c r="C352" s="99">
        <f>+C351+C234</f>
        <v>20000</v>
      </c>
      <c r="D352" s="99">
        <f t="shared" ref="D352:Y352" si="146">+D351+D234</f>
        <v>0</v>
      </c>
      <c r="E352" s="99">
        <f t="shared" si="146"/>
        <v>0</v>
      </c>
      <c r="F352" s="99">
        <f t="shared" si="146"/>
        <v>0</v>
      </c>
      <c r="G352" s="99">
        <f t="shared" si="146"/>
        <v>0</v>
      </c>
      <c r="H352" s="99">
        <f t="shared" si="146"/>
        <v>955000</v>
      </c>
      <c r="I352" s="99">
        <f t="shared" si="146"/>
        <v>0</v>
      </c>
      <c r="J352" s="99">
        <f t="shared" si="146"/>
        <v>0</v>
      </c>
      <c r="K352" s="99">
        <f t="shared" si="146"/>
        <v>0</v>
      </c>
      <c r="L352" s="99">
        <f t="shared" si="146"/>
        <v>0</v>
      </c>
      <c r="M352" s="99">
        <f t="shared" si="146"/>
        <v>0</v>
      </c>
      <c r="N352" s="99">
        <f t="shared" si="146"/>
        <v>0</v>
      </c>
      <c r="O352" s="99">
        <f t="shared" si="146"/>
        <v>0</v>
      </c>
      <c r="P352" s="99">
        <f t="shared" si="146"/>
        <v>0</v>
      </c>
      <c r="Q352" s="99">
        <f t="shared" si="146"/>
        <v>0</v>
      </c>
      <c r="R352" s="99">
        <f t="shared" si="146"/>
        <v>0</v>
      </c>
      <c r="S352" s="99">
        <f t="shared" si="146"/>
        <v>7000</v>
      </c>
      <c r="T352" s="99">
        <f t="shared" si="146"/>
        <v>0</v>
      </c>
      <c r="U352" s="99">
        <f t="shared" si="146"/>
        <v>0</v>
      </c>
      <c r="V352" s="99">
        <f t="shared" si="146"/>
        <v>0</v>
      </c>
      <c r="W352" s="99">
        <f t="shared" si="146"/>
        <v>0</v>
      </c>
      <c r="X352" s="99">
        <f t="shared" si="146"/>
        <v>0</v>
      </c>
      <c r="Y352" s="99">
        <f t="shared" si="146"/>
        <v>982000</v>
      </c>
    </row>
    <row r="353" spans="1:26" ht="21" customHeight="1">
      <c r="A353" s="430" t="s">
        <v>174</v>
      </c>
      <c r="B353" s="431"/>
      <c r="C353" s="44">
        <f t="shared" ref="C353:X353" si="147">SUM(C253,C261,C273,C282,C289,C308,C315,C332,C340,C344,C351)</f>
        <v>688067.62</v>
      </c>
      <c r="D353" s="44">
        <f t="shared" si="147"/>
        <v>164629.54</v>
      </c>
      <c r="E353" s="44">
        <f t="shared" si="147"/>
        <v>35780</v>
      </c>
      <c r="F353" s="44">
        <f t="shared" si="147"/>
        <v>9000</v>
      </c>
      <c r="G353" s="44">
        <f t="shared" si="147"/>
        <v>86036</v>
      </c>
      <c r="H353" s="44">
        <f t="shared" si="147"/>
        <v>0</v>
      </c>
      <c r="I353" s="44">
        <f t="shared" si="147"/>
        <v>29210</v>
      </c>
      <c r="J353" s="44">
        <f t="shared" si="147"/>
        <v>11684</v>
      </c>
      <c r="K353" s="44">
        <f t="shared" si="147"/>
        <v>0</v>
      </c>
      <c r="L353" s="44">
        <f t="shared" si="147"/>
        <v>123062.56</v>
      </c>
      <c r="M353" s="44">
        <f t="shared" si="147"/>
        <v>19617.900000000001</v>
      </c>
      <c r="N353" s="44">
        <f t="shared" si="147"/>
        <v>116495.05</v>
      </c>
      <c r="O353" s="44">
        <f t="shared" si="147"/>
        <v>0</v>
      </c>
      <c r="P353" s="44">
        <f t="shared" si="147"/>
        <v>50000</v>
      </c>
      <c r="Q353" s="44">
        <f t="shared" si="147"/>
        <v>56090</v>
      </c>
      <c r="R353" s="44">
        <f t="shared" si="147"/>
        <v>2980</v>
      </c>
      <c r="S353" s="44">
        <f t="shared" si="147"/>
        <v>2400</v>
      </c>
      <c r="T353" s="44">
        <f t="shared" si="147"/>
        <v>0</v>
      </c>
      <c r="U353" s="44">
        <f t="shared" si="147"/>
        <v>0</v>
      </c>
      <c r="V353" s="44">
        <f t="shared" si="147"/>
        <v>0</v>
      </c>
      <c r="W353" s="44">
        <f t="shared" si="147"/>
        <v>55775.02</v>
      </c>
      <c r="X353" s="44">
        <f t="shared" si="147"/>
        <v>387165</v>
      </c>
      <c r="Y353" s="44">
        <f>SUM(C353:X353)</f>
        <v>1837992.69</v>
      </c>
    </row>
    <row r="354" spans="1:26" ht="21" customHeight="1">
      <c r="A354" s="430" t="s">
        <v>175</v>
      </c>
      <c r="B354" s="431"/>
      <c r="C354" s="44">
        <f t="shared" ref="C354:X354" si="148">SUM(C254,C262,C274,C283,C290,C309,C316,C333,C341,C345,C352)</f>
        <v>2034875.4300000002</v>
      </c>
      <c r="D354" s="44">
        <f t="shared" si="148"/>
        <v>456973.51</v>
      </c>
      <c r="E354" s="44">
        <f t="shared" si="148"/>
        <v>105540</v>
      </c>
      <c r="F354" s="44">
        <f t="shared" si="148"/>
        <v>9000</v>
      </c>
      <c r="G354" s="44">
        <f t="shared" si="148"/>
        <v>245074</v>
      </c>
      <c r="H354" s="44">
        <f t="shared" si="148"/>
        <v>1165000</v>
      </c>
      <c r="I354" s="44">
        <f t="shared" si="148"/>
        <v>97830</v>
      </c>
      <c r="J354" s="44">
        <f t="shared" si="148"/>
        <v>26074</v>
      </c>
      <c r="K354" s="44">
        <f t="shared" si="148"/>
        <v>0</v>
      </c>
      <c r="L354" s="44">
        <f t="shared" si="148"/>
        <v>345206.6</v>
      </c>
      <c r="M354" s="44">
        <f t="shared" si="148"/>
        <v>38659.199999999997</v>
      </c>
      <c r="N354" s="44">
        <f t="shared" si="148"/>
        <v>210853.21</v>
      </c>
      <c r="O354" s="44">
        <f t="shared" si="148"/>
        <v>0</v>
      </c>
      <c r="P354" s="44">
        <f t="shared" si="148"/>
        <v>159001</v>
      </c>
      <c r="Q354" s="44">
        <f t="shared" si="148"/>
        <v>56090</v>
      </c>
      <c r="R354" s="44">
        <f t="shared" si="148"/>
        <v>15180</v>
      </c>
      <c r="S354" s="44">
        <f t="shared" si="148"/>
        <v>17400</v>
      </c>
      <c r="T354" s="44">
        <f t="shared" si="148"/>
        <v>0</v>
      </c>
      <c r="U354" s="44">
        <f t="shared" si="148"/>
        <v>0</v>
      </c>
      <c r="V354" s="44">
        <f t="shared" si="148"/>
        <v>0</v>
      </c>
      <c r="W354" s="44">
        <f t="shared" si="148"/>
        <v>168329.05</v>
      </c>
      <c r="X354" s="44">
        <f t="shared" si="148"/>
        <v>430098</v>
      </c>
      <c r="Y354" s="44">
        <f>SUM(C354:X354)</f>
        <v>5581184</v>
      </c>
      <c r="Z354" s="91">
        <f>+Y236</f>
        <v>3743191.31</v>
      </c>
    </row>
    <row r="355" spans="1:26" ht="21" customHeight="1">
      <c r="A355" s="440" t="s">
        <v>253</v>
      </c>
      <c r="B355" s="440"/>
      <c r="C355" s="440"/>
      <c r="D355" s="440"/>
      <c r="E355" s="440"/>
      <c r="F355" s="440"/>
      <c r="G355" s="440"/>
      <c r="H355" s="440"/>
      <c r="I355" s="440"/>
      <c r="J355" s="440"/>
      <c r="K355" s="440"/>
      <c r="L355" s="440"/>
      <c r="M355" s="440"/>
      <c r="N355" s="440"/>
      <c r="O355" s="361"/>
      <c r="P355" s="441" t="str">
        <f>+A355</f>
        <v>เทศบาลตำบลเขาพระ อำเภอพิปูน จังหวัดนครศรีธรรมราช</v>
      </c>
      <c r="Q355" s="441"/>
      <c r="R355" s="441"/>
      <c r="S355" s="441"/>
      <c r="T355" s="441"/>
      <c r="U355" s="441"/>
      <c r="V355" s="441"/>
      <c r="W355" s="441"/>
      <c r="X355" s="441"/>
      <c r="Y355" s="441"/>
      <c r="Z355" s="91">
        <f>+งบดุลบัญชี!W119</f>
        <v>5581184</v>
      </c>
    </row>
    <row r="356" spans="1:26" ht="21" customHeight="1">
      <c r="A356" s="440" t="s">
        <v>384</v>
      </c>
      <c r="B356" s="440"/>
      <c r="C356" s="440"/>
      <c r="D356" s="440"/>
      <c r="E356" s="440"/>
      <c r="F356" s="440"/>
      <c r="G356" s="440"/>
      <c r="H356" s="440"/>
      <c r="I356" s="440"/>
      <c r="J356" s="440"/>
      <c r="K356" s="440"/>
      <c r="L356" s="440"/>
      <c r="M356" s="440"/>
      <c r="N356" s="440"/>
      <c r="O356" s="361"/>
      <c r="P356" s="442" t="s">
        <v>384</v>
      </c>
      <c r="Q356" s="442"/>
      <c r="R356" s="442"/>
      <c r="S356" s="442"/>
      <c r="T356" s="442"/>
      <c r="U356" s="442"/>
      <c r="V356" s="442"/>
      <c r="W356" s="442"/>
      <c r="X356" s="442"/>
      <c r="Y356" s="442"/>
      <c r="Z356" s="91">
        <f>+Z355-Y354</f>
        <v>0</v>
      </c>
    </row>
    <row r="357" spans="1:26" ht="21" customHeight="1">
      <c r="A357" s="443" t="s">
        <v>453</v>
      </c>
      <c r="B357" s="443"/>
      <c r="C357" s="443"/>
      <c r="D357" s="443"/>
      <c r="E357" s="443"/>
      <c r="F357" s="443"/>
      <c r="G357" s="443"/>
      <c r="H357" s="443"/>
      <c r="I357" s="443"/>
      <c r="J357" s="443"/>
      <c r="K357" s="443"/>
      <c r="L357" s="443"/>
      <c r="M357" s="443"/>
      <c r="N357" s="443"/>
      <c r="O357" s="362"/>
      <c r="P357" s="444" t="s">
        <v>453</v>
      </c>
      <c r="Q357" s="444"/>
      <c r="R357" s="444"/>
      <c r="S357" s="444"/>
      <c r="T357" s="444"/>
      <c r="U357" s="444"/>
      <c r="V357" s="444"/>
      <c r="W357" s="444"/>
      <c r="X357" s="444"/>
      <c r="Y357" s="444"/>
    </row>
    <row r="358" spans="1:26" ht="21" customHeight="1">
      <c r="A358" s="435" t="s">
        <v>139</v>
      </c>
      <c r="B358" s="435"/>
      <c r="C358" s="434" t="s">
        <v>141</v>
      </c>
      <c r="D358" s="434"/>
      <c r="E358" s="437" t="s">
        <v>144</v>
      </c>
      <c r="F358" s="438"/>
      <c r="G358" s="434" t="s">
        <v>146</v>
      </c>
      <c r="H358" s="435"/>
      <c r="I358" s="437" t="s">
        <v>160</v>
      </c>
      <c r="J358" s="438"/>
      <c r="K358" s="359" t="s">
        <v>161</v>
      </c>
      <c r="L358" s="437" t="s">
        <v>162</v>
      </c>
      <c r="M358" s="439"/>
      <c r="N358" s="439"/>
      <c r="O358" s="438"/>
      <c r="P358" s="437" t="s">
        <v>163</v>
      </c>
      <c r="Q358" s="438"/>
      <c r="R358" s="437" t="s">
        <v>164</v>
      </c>
      <c r="S358" s="439"/>
      <c r="T358" s="438"/>
      <c r="U358" s="434" t="s">
        <v>165</v>
      </c>
      <c r="V358" s="435"/>
      <c r="W358" s="359" t="s">
        <v>212</v>
      </c>
      <c r="X358" s="359" t="s">
        <v>166</v>
      </c>
      <c r="Y358" s="436" t="s">
        <v>17</v>
      </c>
    </row>
    <row r="359" spans="1:26" ht="21" customHeight="1">
      <c r="A359" s="435" t="s">
        <v>140</v>
      </c>
      <c r="B359" s="435"/>
      <c r="C359" s="370" t="s">
        <v>142</v>
      </c>
      <c r="D359" s="359" t="s">
        <v>143</v>
      </c>
      <c r="E359" s="359" t="s">
        <v>145</v>
      </c>
      <c r="F359" s="359" t="s">
        <v>214</v>
      </c>
      <c r="G359" s="359" t="s">
        <v>147</v>
      </c>
      <c r="H359" s="359" t="s">
        <v>148</v>
      </c>
      <c r="I359" s="359" t="s">
        <v>149</v>
      </c>
      <c r="J359" s="359" t="s">
        <v>150</v>
      </c>
      <c r="K359" s="359" t="s">
        <v>151</v>
      </c>
      <c r="L359" s="359" t="s">
        <v>152</v>
      </c>
      <c r="M359" s="359" t="s">
        <v>153</v>
      </c>
      <c r="N359" s="359" t="s">
        <v>238</v>
      </c>
      <c r="O359" s="359" t="s">
        <v>331</v>
      </c>
      <c r="P359" s="360" t="s">
        <v>303</v>
      </c>
      <c r="Q359" s="360" t="s">
        <v>154</v>
      </c>
      <c r="R359" s="359" t="s">
        <v>155</v>
      </c>
      <c r="S359" s="359" t="s">
        <v>156</v>
      </c>
      <c r="T359" s="359" t="s">
        <v>216</v>
      </c>
      <c r="U359" s="359" t="s">
        <v>157</v>
      </c>
      <c r="V359" s="359" t="s">
        <v>158</v>
      </c>
      <c r="W359" s="359" t="s">
        <v>213</v>
      </c>
      <c r="X359" s="359" t="s">
        <v>159</v>
      </c>
      <c r="Y359" s="436"/>
    </row>
    <row r="360" spans="1:26" ht="21" customHeight="1">
      <c r="A360" s="432" t="s">
        <v>385</v>
      </c>
      <c r="B360" s="433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163"/>
      <c r="P360" s="163"/>
      <c r="Q360" s="163"/>
      <c r="R360" s="92"/>
      <c r="S360" s="92"/>
      <c r="T360" s="92"/>
      <c r="U360" s="92"/>
      <c r="V360" s="92"/>
      <c r="W360" s="92"/>
      <c r="X360" s="92"/>
      <c r="Y360" s="92"/>
    </row>
    <row r="361" spans="1:26" ht="21" customHeight="1">
      <c r="A361" s="314">
        <v>110100</v>
      </c>
      <c r="B361" s="311" t="s">
        <v>342</v>
      </c>
      <c r="C361" s="312"/>
      <c r="D361" s="312"/>
      <c r="E361" s="312"/>
      <c r="F361" s="312"/>
      <c r="G361" s="312"/>
      <c r="H361" s="312"/>
      <c r="I361" s="312"/>
      <c r="J361" s="312"/>
      <c r="K361" s="312"/>
      <c r="L361" s="312"/>
      <c r="M361" s="312"/>
      <c r="N361" s="312"/>
      <c r="O361" s="313"/>
      <c r="P361" s="313"/>
      <c r="Q361" s="313"/>
      <c r="R361" s="312"/>
      <c r="S361" s="312"/>
      <c r="T361" s="312"/>
      <c r="U361" s="312"/>
      <c r="V361" s="312"/>
      <c r="W361" s="312"/>
      <c r="X361" s="312"/>
      <c r="Y361" s="95">
        <f>SUM(C361:X361)</f>
        <v>0</v>
      </c>
    </row>
    <row r="362" spans="1:26" ht="21" customHeight="1">
      <c r="A362" s="314">
        <v>110200</v>
      </c>
      <c r="B362" s="311" t="s">
        <v>329</v>
      </c>
      <c r="C362" s="312"/>
      <c r="D362" s="312"/>
      <c r="E362" s="312"/>
      <c r="F362" s="312"/>
      <c r="G362" s="312"/>
      <c r="H362" s="312"/>
      <c r="I362" s="312"/>
      <c r="J362" s="312"/>
      <c r="K362" s="312"/>
      <c r="L362" s="312"/>
      <c r="M362" s="312"/>
      <c r="N362" s="312"/>
      <c r="O362" s="313"/>
      <c r="P362" s="313"/>
      <c r="Q362" s="313"/>
      <c r="R362" s="312"/>
      <c r="S362" s="312"/>
      <c r="T362" s="312"/>
      <c r="U362" s="312"/>
      <c r="V362" s="312"/>
      <c r="W362" s="312"/>
      <c r="X362" s="312"/>
      <c r="Y362" s="95">
        <f t="shared" ref="Y362" si="149">SUM(C362:X362)</f>
        <v>0</v>
      </c>
    </row>
    <row r="363" spans="1:26" ht="21" customHeight="1">
      <c r="A363" s="93">
        <v>110300</v>
      </c>
      <c r="B363" s="94" t="s">
        <v>167</v>
      </c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164"/>
      <c r="P363" s="164"/>
      <c r="Q363" s="164"/>
      <c r="R363" s="70"/>
      <c r="S363" s="70"/>
      <c r="T363" s="70"/>
      <c r="U363" s="70"/>
      <c r="V363" s="70"/>
      <c r="W363" s="70"/>
      <c r="X363" s="70">
        <f>651+12619</f>
        <v>13270</v>
      </c>
      <c r="Y363" s="95">
        <f>SUM(C363:X363)</f>
        <v>13270</v>
      </c>
    </row>
    <row r="364" spans="1:26" ht="21" customHeight="1">
      <c r="A364" s="93">
        <v>110700</v>
      </c>
      <c r="B364" s="94" t="s">
        <v>101</v>
      </c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164"/>
      <c r="P364" s="164"/>
      <c r="Q364" s="164"/>
      <c r="R364" s="70"/>
      <c r="S364" s="70"/>
      <c r="T364" s="70"/>
      <c r="U364" s="70"/>
      <c r="V364" s="70"/>
      <c r="W364" s="70"/>
      <c r="X364" s="70"/>
      <c r="Y364" s="95">
        <f t="shared" ref="Y364:Y369" si="150">SUM(C364:X364)</f>
        <v>0</v>
      </c>
    </row>
    <row r="365" spans="1:26" ht="21" customHeight="1">
      <c r="A365" s="93">
        <v>110800</v>
      </c>
      <c r="B365" s="94" t="s">
        <v>105</v>
      </c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164"/>
      <c r="P365" s="164"/>
      <c r="Q365" s="164"/>
      <c r="R365" s="70"/>
      <c r="S365" s="70"/>
      <c r="T365" s="70"/>
      <c r="U365" s="70"/>
      <c r="V365" s="70"/>
      <c r="W365" s="70"/>
      <c r="X365" s="70"/>
      <c r="Y365" s="95">
        <f t="shared" si="150"/>
        <v>0</v>
      </c>
    </row>
    <row r="366" spans="1:26" ht="21" customHeight="1">
      <c r="A366" s="93">
        <v>110900</v>
      </c>
      <c r="B366" s="94" t="s">
        <v>106</v>
      </c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164"/>
      <c r="P366" s="164"/>
      <c r="Q366" s="164"/>
      <c r="R366" s="70"/>
      <c r="S366" s="70"/>
      <c r="T366" s="70"/>
      <c r="U366" s="70"/>
      <c r="V366" s="70"/>
      <c r="W366" s="70"/>
      <c r="X366" s="70">
        <v>8500</v>
      </c>
      <c r="Y366" s="95">
        <f t="shared" si="150"/>
        <v>8500</v>
      </c>
    </row>
    <row r="367" spans="1:26" ht="21" customHeight="1">
      <c r="A367" s="93">
        <v>111000</v>
      </c>
      <c r="B367" s="94" t="s">
        <v>107</v>
      </c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164"/>
      <c r="P367" s="164"/>
      <c r="Q367" s="164"/>
      <c r="R367" s="70"/>
      <c r="S367" s="70"/>
      <c r="T367" s="70"/>
      <c r="U367" s="70"/>
      <c r="V367" s="70"/>
      <c r="W367" s="70"/>
      <c r="X367" s="70"/>
      <c r="Y367" s="95">
        <f t="shared" si="150"/>
        <v>0</v>
      </c>
    </row>
    <row r="368" spans="1:26" ht="21" customHeight="1">
      <c r="A368" s="93">
        <v>111100</v>
      </c>
      <c r="B368" s="94" t="s">
        <v>330</v>
      </c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164"/>
      <c r="P368" s="164"/>
      <c r="Q368" s="164"/>
      <c r="R368" s="70"/>
      <c r="S368" s="70"/>
      <c r="T368" s="70"/>
      <c r="U368" s="70"/>
      <c r="V368" s="70"/>
      <c r="W368" s="70"/>
      <c r="X368" s="70">
        <v>171000</v>
      </c>
      <c r="Y368" s="95">
        <f t="shared" si="150"/>
        <v>171000</v>
      </c>
    </row>
    <row r="369" spans="1:25" ht="21" customHeight="1">
      <c r="A369" s="93">
        <v>111100</v>
      </c>
      <c r="B369" s="94" t="s">
        <v>297</v>
      </c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164"/>
      <c r="P369" s="164"/>
      <c r="Q369" s="164"/>
      <c r="R369" s="70"/>
      <c r="S369" s="70"/>
      <c r="T369" s="70"/>
      <c r="U369" s="70"/>
      <c r="V369" s="70"/>
      <c r="W369" s="70"/>
      <c r="X369" s="70">
        <v>28862.68</v>
      </c>
      <c r="Y369" s="95">
        <f t="shared" si="150"/>
        <v>28862.68</v>
      </c>
    </row>
    <row r="370" spans="1:25" ht="21" customHeight="1">
      <c r="A370" s="96">
        <v>120100</v>
      </c>
      <c r="B370" s="97" t="s">
        <v>168</v>
      </c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165"/>
      <c r="P370" s="165"/>
      <c r="Q370" s="165"/>
      <c r="R370" s="76"/>
      <c r="S370" s="76"/>
      <c r="T370" s="76"/>
      <c r="U370" s="76"/>
      <c r="V370" s="76"/>
      <c r="W370" s="76"/>
      <c r="X370" s="76"/>
      <c r="Y370" s="98">
        <f>SUM(C370:X370)</f>
        <v>0</v>
      </c>
    </row>
    <row r="371" spans="1:25" ht="21" customHeight="1">
      <c r="A371" s="426" t="s">
        <v>174</v>
      </c>
      <c r="B371" s="427"/>
      <c r="C371" s="95">
        <f>SUM(C361:C370)</f>
        <v>0</v>
      </c>
      <c r="D371" s="95">
        <f t="shared" ref="D371:W371" si="151">SUM(D361:D370)</f>
        <v>0</v>
      </c>
      <c r="E371" s="95">
        <f t="shared" si="151"/>
        <v>0</v>
      </c>
      <c r="F371" s="95">
        <f t="shared" si="151"/>
        <v>0</v>
      </c>
      <c r="G371" s="95">
        <f t="shared" si="151"/>
        <v>0</v>
      </c>
      <c r="H371" s="95">
        <f t="shared" si="151"/>
        <v>0</v>
      </c>
      <c r="I371" s="95">
        <f t="shared" si="151"/>
        <v>0</v>
      </c>
      <c r="J371" s="95">
        <f t="shared" si="151"/>
        <v>0</v>
      </c>
      <c r="K371" s="95">
        <f t="shared" si="151"/>
        <v>0</v>
      </c>
      <c r="L371" s="95">
        <f t="shared" si="151"/>
        <v>0</v>
      </c>
      <c r="M371" s="95">
        <f t="shared" si="151"/>
        <v>0</v>
      </c>
      <c r="N371" s="95">
        <f t="shared" si="151"/>
        <v>0</v>
      </c>
      <c r="O371" s="95">
        <f t="shared" si="151"/>
        <v>0</v>
      </c>
      <c r="P371" s="95">
        <f t="shared" si="151"/>
        <v>0</v>
      </c>
      <c r="Q371" s="95">
        <f t="shared" si="151"/>
        <v>0</v>
      </c>
      <c r="R371" s="95">
        <f t="shared" si="151"/>
        <v>0</v>
      </c>
      <c r="S371" s="95">
        <f t="shared" si="151"/>
        <v>0</v>
      </c>
      <c r="T371" s="95">
        <f t="shared" si="151"/>
        <v>0</v>
      </c>
      <c r="U371" s="95">
        <f t="shared" si="151"/>
        <v>0</v>
      </c>
      <c r="V371" s="95">
        <f t="shared" si="151"/>
        <v>0</v>
      </c>
      <c r="W371" s="95">
        <f t="shared" si="151"/>
        <v>0</v>
      </c>
      <c r="X371" s="95">
        <f>SUM(X361:X370)</f>
        <v>221632.68</v>
      </c>
      <c r="Y371" s="95">
        <f>SUM(C371:X371)</f>
        <v>221632.68</v>
      </c>
    </row>
    <row r="372" spans="1:25" ht="21" customHeight="1">
      <c r="A372" s="428" t="s">
        <v>175</v>
      </c>
      <c r="B372" s="429"/>
      <c r="C372" s="99">
        <f>+C371+C253</f>
        <v>0</v>
      </c>
      <c r="D372" s="99">
        <f t="shared" ref="D372:W372" si="152">+D371+D253</f>
        <v>0</v>
      </c>
      <c r="E372" s="99">
        <f t="shared" si="152"/>
        <v>0</v>
      </c>
      <c r="F372" s="99">
        <f t="shared" si="152"/>
        <v>0</v>
      </c>
      <c r="G372" s="99">
        <f t="shared" si="152"/>
        <v>0</v>
      </c>
      <c r="H372" s="99">
        <f t="shared" si="152"/>
        <v>0</v>
      </c>
      <c r="I372" s="99">
        <f t="shared" si="152"/>
        <v>0</v>
      </c>
      <c r="J372" s="99">
        <f t="shared" si="152"/>
        <v>0</v>
      </c>
      <c r="K372" s="99">
        <f t="shared" si="152"/>
        <v>0</v>
      </c>
      <c r="L372" s="99">
        <f t="shared" si="152"/>
        <v>0</v>
      </c>
      <c r="M372" s="99">
        <f t="shared" si="152"/>
        <v>0</v>
      </c>
      <c r="N372" s="99">
        <f t="shared" si="152"/>
        <v>0</v>
      </c>
      <c r="O372" s="99">
        <f t="shared" si="152"/>
        <v>0</v>
      </c>
      <c r="P372" s="99">
        <f t="shared" si="152"/>
        <v>0</v>
      </c>
      <c r="Q372" s="99">
        <f t="shared" si="152"/>
        <v>0</v>
      </c>
      <c r="R372" s="99">
        <f t="shared" si="152"/>
        <v>0</v>
      </c>
      <c r="S372" s="99">
        <f t="shared" si="152"/>
        <v>0</v>
      </c>
      <c r="T372" s="99">
        <f t="shared" si="152"/>
        <v>0</v>
      </c>
      <c r="U372" s="99">
        <f t="shared" si="152"/>
        <v>0</v>
      </c>
      <c r="V372" s="99">
        <f t="shared" si="152"/>
        <v>0</v>
      </c>
      <c r="W372" s="99">
        <f t="shared" si="152"/>
        <v>0</v>
      </c>
      <c r="X372" s="99">
        <f>+X371+X254</f>
        <v>651730.67999999993</v>
      </c>
      <c r="Y372" s="99">
        <f>+Y371+Y254</f>
        <v>651730.67999999993</v>
      </c>
    </row>
    <row r="373" spans="1:25" ht="21" customHeight="1">
      <c r="A373" s="432" t="s">
        <v>386</v>
      </c>
      <c r="B373" s="433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67"/>
      <c r="P373" s="167"/>
      <c r="Q373" s="167"/>
      <c r="R373" s="100"/>
      <c r="S373" s="100"/>
      <c r="T373" s="100"/>
      <c r="U373" s="100"/>
      <c r="V373" s="100"/>
      <c r="W373" s="100"/>
      <c r="X373" s="100"/>
      <c r="Y373" s="101">
        <f t="shared" ref="Y373:Y378" si="153">SUM(C373:X373)</f>
        <v>0</v>
      </c>
    </row>
    <row r="374" spans="1:25" ht="21" customHeight="1">
      <c r="A374" s="93">
        <v>210100</v>
      </c>
      <c r="B374" s="68" t="s">
        <v>169</v>
      </c>
      <c r="C374" s="70">
        <v>57960</v>
      </c>
      <c r="D374" s="70">
        <v>0</v>
      </c>
      <c r="E374" s="70"/>
      <c r="F374" s="70"/>
      <c r="G374" s="70"/>
      <c r="H374" s="70"/>
      <c r="I374" s="70"/>
      <c r="J374" s="70"/>
      <c r="K374" s="70"/>
      <c r="L374" s="70">
        <v>0</v>
      </c>
      <c r="M374" s="70"/>
      <c r="N374" s="70"/>
      <c r="O374" s="164"/>
      <c r="P374" s="164"/>
      <c r="Q374" s="164"/>
      <c r="R374" s="70"/>
      <c r="S374" s="70"/>
      <c r="T374" s="70"/>
      <c r="U374" s="70"/>
      <c r="V374" s="70"/>
      <c r="W374" s="70"/>
      <c r="X374" s="70"/>
      <c r="Y374" s="95">
        <f t="shared" si="153"/>
        <v>57960</v>
      </c>
    </row>
    <row r="375" spans="1:25" ht="21" customHeight="1">
      <c r="A375" s="93">
        <v>210200</v>
      </c>
      <c r="B375" s="68" t="s">
        <v>173</v>
      </c>
      <c r="C375" s="70">
        <v>10000</v>
      </c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164"/>
      <c r="P375" s="164"/>
      <c r="Q375" s="164"/>
      <c r="R375" s="70"/>
      <c r="S375" s="70"/>
      <c r="T375" s="70"/>
      <c r="U375" s="70"/>
      <c r="V375" s="70"/>
      <c r="W375" s="70"/>
      <c r="X375" s="70"/>
      <c r="Y375" s="95">
        <f t="shared" si="153"/>
        <v>10000</v>
      </c>
    </row>
    <row r="376" spans="1:25" ht="21" customHeight="1">
      <c r="A376" s="93">
        <v>210300</v>
      </c>
      <c r="B376" s="68" t="s">
        <v>170</v>
      </c>
      <c r="C376" s="70">
        <v>10000</v>
      </c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164"/>
      <c r="P376" s="164"/>
      <c r="Q376" s="164"/>
      <c r="R376" s="70"/>
      <c r="S376" s="70"/>
      <c r="T376" s="70"/>
      <c r="U376" s="70"/>
      <c r="V376" s="70"/>
      <c r="W376" s="70"/>
      <c r="X376" s="70"/>
      <c r="Y376" s="95">
        <f t="shared" si="153"/>
        <v>10000</v>
      </c>
    </row>
    <row r="377" spans="1:25" ht="21" customHeight="1">
      <c r="A377" s="93">
        <v>210400</v>
      </c>
      <c r="B377" s="68" t="s">
        <v>171</v>
      </c>
      <c r="C377" s="70">
        <v>16560</v>
      </c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164"/>
      <c r="P377" s="164"/>
      <c r="Q377" s="164"/>
      <c r="R377" s="70"/>
      <c r="S377" s="70"/>
      <c r="T377" s="70"/>
      <c r="U377" s="70"/>
      <c r="V377" s="70"/>
      <c r="W377" s="70"/>
      <c r="X377" s="70"/>
      <c r="Y377" s="95">
        <f t="shared" si="153"/>
        <v>16560</v>
      </c>
    </row>
    <row r="378" spans="1:25" ht="21" customHeight="1">
      <c r="A378" s="96">
        <v>210600</v>
      </c>
      <c r="B378" s="69" t="s">
        <v>172</v>
      </c>
      <c r="C378" s="70">
        <v>124200</v>
      </c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165"/>
      <c r="P378" s="165"/>
      <c r="Q378" s="165"/>
      <c r="R378" s="76"/>
      <c r="S378" s="76"/>
      <c r="T378" s="76"/>
      <c r="U378" s="76"/>
      <c r="V378" s="76"/>
      <c r="W378" s="76"/>
      <c r="X378" s="76"/>
      <c r="Y378" s="98">
        <f t="shared" si="153"/>
        <v>124200</v>
      </c>
    </row>
    <row r="379" spans="1:25" ht="21" customHeight="1">
      <c r="A379" s="426" t="s">
        <v>174</v>
      </c>
      <c r="B379" s="427"/>
      <c r="C379" s="95">
        <f>SUM(C374:C378)</f>
        <v>218720</v>
      </c>
      <c r="D379" s="95">
        <f>SUM(D373:D378)</f>
        <v>0</v>
      </c>
      <c r="E379" s="95">
        <f>SUM(E373:E378)</f>
        <v>0</v>
      </c>
      <c r="F379" s="95">
        <f t="shared" ref="F379:L379" si="154">SUM(F373:F378)</f>
        <v>0</v>
      </c>
      <c r="G379" s="95">
        <f t="shared" si="154"/>
        <v>0</v>
      </c>
      <c r="H379" s="95">
        <f t="shared" si="154"/>
        <v>0</v>
      </c>
      <c r="I379" s="95">
        <f t="shared" si="154"/>
        <v>0</v>
      </c>
      <c r="J379" s="95">
        <f t="shared" si="154"/>
        <v>0</v>
      </c>
      <c r="K379" s="95">
        <f t="shared" si="154"/>
        <v>0</v>
      </c>
      <c r="L379" s="95">
        <f t="shared" si="154"/>
        <v>0</v>
      </c>
      <c r="M379" s="95">
        <f>SUM(M373:M378)</f>
        <v>0</v>
      </c>
      <c r="N379" s="95">
        <f>SUM(N373:N378)</f>
        <v>0</v>
      </c>
      <c r="O379" s="95">
        <f>SUM(O373:O378)</f>
        <v>0</v>
      </c>
      <c r="P379" s="95">
        <f t="shared" ref="P379:X379" si="155">SUM(P373:P378)</f>
        <v>0</v>
      </c>
      <c r="Q379" s="95">
        <f t="shared" si="155"/>
        <v>0</v>
      </c>
      <c r="R379" s="95">
        <f t="shared" si="155"/>
        <v>0</v>
      </c>
      <c r="S379" s="95">
        <f t="shared" si="155"/>
        <v>0</v>
      </c>
      <c r="T379" s="95">
        <f t="shared" si="155"/>
        <v>0</v>
      </c>
      <c r="U379" s="95">
        <f t="shared" si="155"/>
        <v>0</v>
      </c>
      <c r="V379" s="95">
        <f t="shared" si="155"/>
        <v>0</v>
      </c>
      <c r="W379" s="95">
        <f t="shared" si="155"/>
        <v>0</v>
      </c>
      <c r="X379" s="95">
        <f t="shared" si="155"/>
        <v>0</v>
      </c>
      <c r="Y379" s="95">
        <f>SUM(C379:X379)</f>
        <v>218720</v>
      </c>
    </row>
    <row r="380" spans="1:25" ht="21" customHeight="1">
      <c r="A380" s="428" t="s">
        <v>175</v>
      </c>
      <c r="B380" s="429"/>
      <c r="C380" s="95">
        <f>+C379+C262</f>
        <v>874880</v>
      </c>
      <c r="D380" s="95">
        <f t="shared" ref="D380:Y380" si="156">+D379+D262</f>
        <v>0</v>
      </c>
      <c r="E380" s="95">
        <f t="shared" si="156"/>
        <v>0</v>
      </c>
      <c r="F380" s="95">
        <f t="shared" si="156"/>
        <v>0</v>
      </c>
      <c r="G380" s="95">
        <f t="shared" si="156"/>
        <v>0</v>
      </c>
      <c r="H380" s="95">
        <f t="shared" si="156"/>
        <v>0</v>
      </c>
      <c r="I380" s="95">
        <f t="shared" si="156"/>
        <v>0</v>
      </c>
      <c r="J380" s="95">
        <f t="shared" si="156"/>
        <v>0</v>
      </c>
      <c r="K380" s="95">
        <f t="shared" si="156"/>
        <v>0</v>
      </c>
      <c r="L380" s="95">
        <f t="shared" si="156"/>
        <v>0</v>
      </c>
      <c r="M380" s="95">
        <f t="shared" si="156"/>
        <v>0</v>
      </c>
      <c r="N380" s="95">
        <f t="shared" si="156"/>
        <v>0</v>
      </c>
      <c r="O380" s="95">
        <f t="shared" si="156"/>
        <v>0</v>
      </c>
      <c r="P380" s="95">
        <f t="shared" si="156"/>
        <v>0</v>
      </c>
      <c r="Q380" s="95">
        <f t="shared" si="156"/>
        <v>0</v>
      </c>
      <c r="R380" s="95">
        <f t="shared" si="156"/>
        <v>0</v>
      </c>
      <c r="S380" s="95">
        <f t="shared" si="156"/>
        <v>0</v>
      </c>
      <c r="T380" s="95">
        <f t="shared" si="156"/>
        <v>0</v>
      </c>
      <c r="U380" s="95">
        <f t="shared" si="156"/>
        <v>0</v>
      </c>
      <c r="V380" s="95">
        <f t="shared" si="156"/>
        <v>0</v>
      </c>
      <c r="W380" s="95">
        <f t="shared" si="156"/>
        <v>0</v>
      </c>
      <c r="X380" s="95">
        <f t="shared" si="156"/>
        <v>0</v>
      </c>
      <c r="Y380" s="95">
        <f t="shared" si="156"/>
        <v>874880</v>
      </c>
    </row>
    <row r="381" spans="1:25" ht="21" customHeight="1">
      <c r="A381" s="432" t="s">
        <v>387</v>
      </c>
      <c r="B381" s="433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67"/>
      <c r="P381" s="167"/>
      <c r="Q381" s="167"/>
      <c r="R381" s="100"/>
      <c r="S381" s="100"/>
      <c r="T381" s="100"/>
      <c r="U381" s="100"/>
      <c r="V381" s="100"/>
      <c r="W381" s="100"/>
      <c r="X381" s="100"/>
      <c r="Y381" s="101">
        <f t="shared" ref="Y381" si="157">SUM(C381:X381)</f>
        <v>0</v>
      </c>
    </row>
    <row r="382" spans="1:25" ht="21" customHeight="1">
      <c r="A382" s="93">
        <v>220100</v>
      </c>
      <c r="B382" s="68" t="s">
        <v>176</v>
      </c>
      <c r="C382" s="70">
        <v>241814</v>
      </c>
      <c r="D382" s="70">
        <v>117021.19</v>
      </c>
      <c r="E382" s="70">
        <v>32120</v>
      </c>
      <c r="F382" s="70"/>
      <c r="G382" s="70">
        <v>23370</v>
      </c>
      <c r="H382" s="70"/>
      <c r="I382" s="70"/>
      <c r="J382" s="70"/>
      <c r="K382" s="70"/>
      <c r="L382" s="70">
        <v>75378</v>
      </c>
      <c r="M382" s="70"/>
      <c r="N382" s="237"/>
      <c r="O382" s="268"/>
      <c r="P382" s="164">
        <v>28355</v>
      </c>
      <c r="Q382" s="164"/>
      <c r="R382" s="70"/>
      <c r="S382" s="70"/>
      <c r="T382" s="70"/>
      <c r="U382" s="70"/>
      <c r="V382" s="70"/>
      <c r="W382" s="70"/>
      <c r="X382" s="70"/>
      <c r="Y382" s="95">
        <f>SUM(C382:X382)</f>
        <v>518058.19</v>
      </c>
    </row>
    <row r="383" spans="1:25" ht="21" customHeight="1">
      <c r="A383" s="93">
        <v>220200</v>
      </c>
      <c r="B383" s="68" t="s">
        <v>177</v>
      </c>
      <c r="C383" s="70">
        <v>5600</v>
      </c>
      <c r="D383" s="70">
        <v>1246.45</v>
      </c>
      <c r="E383" s="70"/>
      <c r="F383" s="70"/>
      <c r="G383" s="70"/>
      <c r="H383" s="70"/>
      <c r="I383" s="70"/>
      <c r="J383" s="70"/>
      <c r="K383" s="70"/>
      <c r="L383" s="70"/>
      <c r="M383" s="70"/>
      <c r="N383" s="238"/>
      <c r="O383" s="94"/>
      <c r="P383" s="164"/>
      <c r="Q383" s="164"/>
      <c r="R383" s="70"/>
      <c r="S383" s="70"/>
      <c r="T383" s="70"/>
      <c r="U383" s="70"/>
      <c r="V383" s="70"/>
      <c r="W383" s="70"/>
      <c r="X383" s="70"/>
      <c r="Y383" s="95">
        <f t="shared" ref="Y383:Y386" si="158">SUM(C383:X383)</f>
        <v>6846.45</v>
      </c>
    </row>
    <row r="384" spans="1:25" ht="21" customHeight="1">
      <c r="A384" s="93">
        <v>220300</v>
      </c>
      <c r="B384" s="68" t="s">
        <v>178</v>
      </c>
      <c r="C384" s="70">
        <v>9100</v>
      </c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238"/>
      <c r="O384" s="94"/>
      <c r="P384" s="164"/>
      <c r="Q384" s="164"/>
      <c r="R384" s="70"/>
      <c r="S384" s="70"/>
      <c r="T384" s="70"/>
      <c r="U384" s="70"/>
      <c r="V384" s="70"/>
      <c r="W384" s="70"/>
      <c r="X384" s="70"/>
      <c r="Y384" s="95">
        <f t="shared" si="158"/>
        <v>9100</v>
      </c>
    </row>
    <row r="385" spans="1:25" ht="21" customHeight="1">
      <c r="A385" s="93">
        <v>220500</v>
      </c>
      <c r="B385" s="68" t="s">
        <v>3</v>
      </c>
      <c r="C385" s="70"/>
      <c r="D385" s="70">
        <v>49230</v>
      </c>
      <c r="E385" s="70"/>
      <c r="F385" s="70"/>
      <c r="G385" s="70"/>
      <c r="H385" s="70"/>
      <c r="I385" s="70"/>
      <c r="J385" s="70"/>
      <c r="K385" s="70"/>
      <c r="L385" s="70"/>
      <c r="M385" s="70"/>
      <c r="N385" s="238"/>
      <c r="O385" s="94"/>
      <c r="P385" s="164"/>
      <c r="Q385" s="164"/>
      <c r="R385" s="70"/>
      <c r="S385" s="70"/>
      <c r="T385" s="70"/>
      <c r="U385" s="70"/>
      <c r="V385" s="70"/>
      <c r="W385" s="70"/>
      <c r="X385" s="70"/>
      <c r="Y385" s="95">
        <f t="shared" si="158"/>
        <v>49230</v>
      </c>
    </row>
    <row r="386" spans="1:25" ht="21" customHeight="1">
      <c r="A386" s="93">
        <v>220600</v>
      </c>
      <c r="B386" s="68" t="s">
        <v>179</v>
      </c>
      <c r="C386" s="70">
        <v>0</v>
      </c>
      <c r="D386" s="70">
        <v>0</v>
      </c>
      <c r="E386" s="70"/>
      <c r="F386" s="70"/>
      <c r="G386" s="70"/>
      <c r="H386" s="70"/>
      <c r="I386" s="70"/>
      <c r="J386" s="70"/>
      <c r="K386" s="70"/>
      <c r="L386" s="70">
        <v>0</v>
      </c>
      <c r="M386" s="70"/>
      <c r="N386" s="239"/>
      <c r="O386" s="165"/>
      <c r="P386" s="164"/>
      <c r="Q386" s="164"/>
      <c r="R386" s="70"/>
      <c r="S386" s="70"/>
      <c r="T386" s="70"/>
      <c r="U386" s="70"/>
      <c r="V386" s="70"/>
      <c r="W386" s="70"/>
      <c r="X386" s="70"/>
      <c r="Y386" s="95">
        <f t="shared" si="158"/>
        <v>0</v>
      </c>
    </row>
    <row r="387" spans="1:25" ht="21" customHeight="1">
      <c r="A387" s="435" t="s">
        <v>139</v>
      </c>
      <c r="B387" s="435"/>
      <c r="C387" s="434" t="s">
        <v>141</v>
      </c>
      <c r="D387" s="434"/>
      <c r="E387" s="437" t="s">
        <v>144</v>
      </c>
      <c r="F387" s="438"/>
      <c r="G387" s="434" t="s">
        <v>146</v>
      </c>
      <c r="H387" s="435"/>
      <c r="I387" s="437" t="s">
        <v>160</v>
      </c>
      <c r="J387" s="438"/>
      <c r="K387" s="359" t="s">
        <v>161</v>
      </c>
      <c r="L387" s="437" t="s">
        <v>162</v>
      </c>
      <c r="M387" s="439"/>
      <c r="N387" s="439"/>
      <c r="O387" s="438"/>
      <c r="P387" s="437" t="s">
        <v>163</v>
      </c>
      <c r="Q387" s="438"/>
      <c r="R387" s="437" t="s">
        <v>164</v>
      </c>
      <c r="S387" s="439"/>
      <c r="T387" s="438"/>
      <c r="U387" s="434" t="s">
        <v>165</v>
      </c>
      <c r="V387" s="435"/>
      <c r="W387" s="359" t="s">
        <v>212</v>
      </c>
      <c r="X387" s="359" t="s">
        <v>166</v>
      </c>
      <c r="Y387" s="436" t="s">
        <v>17</v>
      </c>
    </row>
    <row r="388" spans="1:25" ht="21" customHeight="1">
      <c r="A388" s="435" t="s">
        <v>140</v>
      </c>
      <c r="B388" s="435"/>
      <c r="C388" s="370" t="s">
        <v>142</v>
      </c>
      <c r="D388" s="359" t="s">
        <v>143</v>
      </c>
      <c r="E388" s="359" t="s">
        <v>145</v>
      </c>
      <c r="F388" s="359" t="s">
        <v>214</v>
      </c>
      <c r="G388" s="359" t="s">
        <v>147</v>
      </c>
      <c r="H388" s="359" t="s">
        <v>148</v>
      </c>
      <c r="I388" s="359" t="s">
        <v>149</v>
      </c>
      <c r="J388" s="359" t="s">
        <v>150</v>
      </c>
      <c r="K388" s="359" t="s">
        <v>151</v>
      </c>
      <c r="L388" s="359" t="s">
        <v>152</v>
      </c>
      <c r="M388" s="359" t="s">
        <v>153</v>
      </c>
      <c r="N388" s="359" t="s">
        <v>238</v>
      </c>
      <c r="O388" s="359" t="s">
        <v>331</v>
      </c>
      <c r="P388" s="360" t="s">
        <v>303</v>
      </c>
      <c r="Q388" s="360" t="s">
        <v>154</v>
      </c>
      <c r="R388" s="359" t="s">
        <v>155</v>
      </c>
      <c r="S388" s="359" t="s">
        <v>156</v>
      </c>
      <c r="T388" s="359" t="s">
        <v>216</v>
      </c>
      <c r="U388" s="359" t="s">
        <v>157</v>
      </c>
      <c r="V388" s="359" t="s">
        <v>158</v>
      </c>
      <c r="W388" s="359" t="s">
        <v>213</v>
      </c>
      <c r="X388" s="359" t="s">
        <v>159</v>
      </c>
      <c r="Y388" s="436"/>
    </row>
    <row r="389" spans="1:25" ht="21" customHeight="1">
      <c r="A389" s="93">
        <v>220700</v>
      </c>
      <c r="B389" s="68" t="s">
        <v>180</v>
      </c>
      <c r="C389" s="70">
        <v>88025</v>
      </c>
      <c r="D389" s="70">
        <v>25550</v>
      </c>
      <c r="E389" s="70">
        <v>9400</v>
      </c>
      <c r="F389" s="70"/>
      <c r="G389" s="70">
        <v>29500</v>
      </c>
      <c r="H389" s="74"/>
      <c r="I389" s="70">
        <v>27210</v>
      </c>
      <c r="J389" s="70"/>
      <c r="K389" s="70"/>
      <c r="L389" s="70">
        <v>38770</v>
      </c>
      <c r="M389" s="70"/>
      <c r="N389" s="70"/>
      <c r="O389" s="164"/>
      <c r="P389" s="164">
        <v>26750</v>
      </c>
      <c r="Q389" s="164"/>
      <c r="R389" s="70"/>
      <c r="S389" s="70"/>
      <c r="T389" s="70"/>
      <c r="U389" s="70"/>
      <c r="V389" s="70"/>
      <c r="W389" s="70"/>
      <c r="X389" s="70"/>
      <c r="Y389" s="95">
        <f>SUM(C389:X389)</f>
        <v>245205</v>
      </c>
    </row>
    <row r="390" spans="1:25" ht="21" customHeight="1">
      <c r="A390" s="96">
        <v>220800</v>
      </c>
      <c r="B390" s="69" t="s">
        <v>181</v>
      </c>
      <c r="C390" s="70">
        <v>11903</v>
      </c>
      <c r="D390" s="76">
        <v>2000</v>
      </c>
      <c r="E390" s="76">
        <v>2000</v>
      </c>
      <c r="F390" s="76"/>
      <c r="G390" s="76">
        <v>1000</v>
      </c>
      <c r="H390" s="123"/>
      <c r="I390" s="76">
        <v>2000</v>
      </c>
      <c r="J390" s="76"/>
      <c r="K390" s="76"/>
      <c r="L390" s="70">
        <v>7000</v>
      </c>
      <c r="M390" s="76"/>
      <c r="N390" s="76"/>
      <c r="O390" s="165"/>
      <c r="P390" s="165">
        <v>2000</v>
      </c>
      <c r="Q390" s="165"/>
      <c r="R390" s="76"/>
      <c r="S390" s="76"/>
      <c r="T390" s="76"/>
      <c r="U390" s="76"/>
      <c r="V390" s="76"/>
      <c r="W390" s="76"/>
      <c r="X390" s="76"/>
      <c r="Y390" s="95">
        <f>SUM(C390:X390)</f>
        <v>27903</v>
      </c>
    </row>
    <row r="391" spans="1:25" ht="21" customHeight="1">
      <c r="A391" s="426" t="s">
        <v>174</v>
      </c>
      <c r="B391" s="427"/>
      <c r="C391" s="95">
        <f t="shared" ref="C391:K391" si="159">SUM(C381:C390)</f>
        <v>356442</v>
      </c>
      <c r="D391" s="95">
        <f t="shared" si="159"/>
        <v>195047.64</v>
      </c>
      <c r="E391" s="95">
        <f t="shared" si="159"/>
        <v>43520</v>
      </c>
      <c r="F391" s="95">
        <f t="shared" si="159"/>
        <v>0</v>
      </c>
      <c r="G391" s="95">
        <f t="shared" si="159"/>
        <v>53870</v>
      </c>
      <c r="H391" s="95">
        <f t="shared" si="159"/>
        <v>0</v>
      </c>
      <c r="I391" s="95">
        <f t="shared" si="159"/>
        <v>29210</v>
      </c>
      <c r="J391" s="95">
        <f t="shared" si="159"/>
        <v>0</v>
      </c>
      <c r="K391" s="95">
        <f t="shared" si="159"/>
        <v>0</v>
      </c>
      <c r="L391" s="95">
        <f>SUM(L381:L390)</f>
        <v>121148</v>
      </c>
      <c r="M391" s="95">
        <f>SUM(M381:M390)</f>
        <v>0</v>
      </c>
      <c r="N391" s="95">
        <f t="shared" ref="N391:O391" si="160">SUM(N381:N390)</f>
        <v>0</v>
      </c>
      <c r="O391" s="95">
        <f t="shared" si="160"/>
        <v>0</v>
      </c>
      <c r="P391" s="95">
        <f>SUM(P381:P390)</f>
        <v>57105</v>
      </c>
      <c r="Q391" s="95">
        <f t="shared" ref="Q391:Y391" si="161">SUM(Q381:Q390)</f>
        <v>0</v>
      </c>
      <c r="R391" s="95">
        <f t="shared" si="161"/>
        <v>0</v>
      </c>
      <c r="S391" s="95">
        <f t="shared" si="161"/>
        <v>0</v>
      </c>
      <c r="T391" s="95">
        <f t="shared" si="161"/>
        <v>0</v>
      </c>
      <c r="U391" s="95">
        <f t="shared" si="161"/>
        <v>0</v>
      </c>
      <c r="V391" s="95">
        <f t="shared" si="161"/>
        <v>0</v>
      </c>
      <c r="W391" s="95">
        <f t="shared" si="161"/>
        <v>0</v>
      </c>
      <c r="X391" s="95">
        <f t="shared" si="161"/>
        <v>0</v>
      </c>
      <c r="Y391" s="95">
        <f t="shared" si="161"/>
        <v>856342.64</v>
      </c>
    </row>
    <row r="392" spans="1:25" ht="21" customHeight="1">
      <c r="A392" s="428" t="s">
        <v>175</v>
      </c>
      <c r="B392" s="429"/>
      <c r="C392" s="99">
        <f>+C391+C274</f>
        <v>1211769</v>
      </c>
      <c r="D392" s="99">
        <f>+D391+D274</f>
        <v>591749.25</v>
      </c>
      <c r="E392" s="99">
        <f>+E391+E274</f>
        <v>143360</v>
      </c>
      <c r="F392" s="99">
        <f t="shared" ref="F392" si="162">+F391+F274</f>
        <v>0</v>
      </c>
      <c r="G392" s="99">
        <f>+G391+G274</f>
        <v>230080</v>
      </c>
      <c r="H392" s="99">
        <f t="shared" ref="H392" si="163">+H391+H274</f>
        <v>0</v>
      </c>
      <c r="I392" s="99">
        <f>+I391+I274</f>
        <v>127040</v>
      </c>
      <c r="J392" s="99">
        <f t="shared" ref="J392:K392" si="164">+J391+J274</f>
        <v>0</v>
      </c>
      <c r="K392" s="99">
        <f t="shared" si="164"/>
        <v>0</v>
      </c>
      <c r="L392" s="99">
        <f>+L391+L274</f>
        <v>415408</v>
      </c>
      <c r="M392" s="99">
        <f t="shared" ref="M392:O392" si="165">+M391+M274</f>
        <v>0</v>
      </c>
      <c r="N392" s="99">
        <f t="shared" si="165"/>
        <v>0</v>
      </c>
      <c r="O392" s="99">
        <f t="shared" si="165"/>
        <v>0</v>
      </c>
      <c r="P392" s="99">
        <f>+P391+P274</f>
        <v>207476</v>
      </c>
      <c r="Q392" s="99">
        <f t="shared" ref="Q392:Y392" si="166">+Q391+Q274</f>
        <v>0</v>
      </c>
      <c r="R392" s="99">
        <f t="shared" si="166"/>
        <v>0</v>
      </c>
      <c r="S392" s="99">
        <f t="shared" si="166"/>
        <v>0</v>
      </c>
      <c r="T392" s="99">
        <f t="shared" si="166"/>
        <v>0</v>
      </c>
      <c r="U392" s="99">
        <f t="shared" si="166"/>
        <v>0</v>
      </c>
      <c r="V392" s="99">
        <f t="shared" si="166"/>
        <v>0</v>
      </c>
      <c r="W392" s="99">
        <f t="shared" si="166"/>
        <v>0</v>
      </c>
      <c r="X392" s="99">
        <f t="shared" si="166"/>
        <v>0</v>
      </c>
      <c r="Y392" s="99">
        <f t="shared" si="166"/>
        <v>2926882.25</v>
      </c>
    </row>
    <row r="393" spans="1:25" ht="21" customHeight="1">
      <c r="A393" s="432" t="s">
        <v>388</v>
      </c>
      <c r="B393" s="433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67"/>
      <c r="P393" s="167"/>
      <c r="Q393" s="167"/>
      <c r="R393" s="100"/>
      <c r="S393" s="100"/>
      <c r="T393" s="100"/>
      <c r="U393" s="100"/>
      <c r="V393" s="100"/>
      <c r="W393" s="100"/>
      <c r="X393" s="100"/>
      <c r="Y393" s="101">
        <f t="shared" ref="Y393:Y398" si="167">SUM(C393:X393)</f>
        <v>0</v>
      </c>
    </row>
    <row r="394" spans="1:25" ht="21" customHeight="1">
      <c r="A394" s="93">
        <v>310100</v>
      </c>
      <c r="B394" s="68" t="s">
        <v>182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164"/>
      <c r="P394" s="164"/>
      <c r="Q394" s="164"/>
      <c r="R394" s="70"/>
      <c r="S394" s="70"/>
      <c r="T394" s="70"/>
      <c r="U394" s="70"/>
      <c r="V394" s="70"/>
      <c r="W394" s="70"/>
      <c r="X394" s="70"/>
      <c r="Y394" s="95">
        <f t="shared" si="167"/>
        <v>0</v>
      </c>
    </row>
    <row r="395" spans="1:25" ht="21" customHeight="1">
      <c r="A395" s="93">
        <v>310200</v>
      </c>
      <c r="B395" s="68" t="s">
        <v>183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164"/>
      <c r="P395" s="164"/>
      <c r="Q395" s="164"/>
      <c r="R395" s="70"/>
      <c r="S395" s="70"/>
      <c r="T395" s="70"/>
      <c r="U395" s="70"/>
      <c r="V395" s="70"/>
      <c r="W395" s="70"/>
      <c r="X395" s="70"/>
      <c r="Y395" s="95">
        <f t="shared" si="167"/>
        <v>0</v>
      </c>
    </row>
    <row r="396" spans="1:25" ht="21" customHeight="1">
      <c r="A396" s="93">
        <v>310300</v>
      </c>
      <c r="B396" s="68" t="s">
        <v>184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164"/>
      <c r="P396" s="164"/>
      <c r="Q396" s="164"/>
      <c r="R396" s="70"/>
      <c r="S396" s="70"/>
      <c r="T396" s="70"/>
      <c r="U396" s="70"/>
      <c r="V396" s="70"/>
      <c r="W396" s="70"/>
      <c r="X396" s="70"/>
      <c r="Y396" s="95">
        <f t="shared" si="167"/>
        <v>0</v>
      </c>
    </row>
    <row r="397" spans="1:25" ht="21" customHeight="1">
      <c r="A397" s="93">
        <v>310400</v>
      </c>
      <c r="B397" s="68" t="s">
        <v>185</v>
      </c>
      <c r="C397" s="70">
        <v>11800</v>
      </c>
      <c r="D397" s="70">
        <v>4600</v>
      </c>
      <c r="E397" s="70">
        <v>2500</v>
      </c>
      <c r="F397" s="70"/>
      <c r="G397" s="70">
        <v>3000</v>
      </c>
      <c r="H397" s="70"/>
      <c r="I397" s="70"/>
      <c r="J397" s="70"/>
      <c r="K397" s="70"/>
      <c r="L397" s="70">
        <v>4800</v>
      </c>
      <c r="M397" s="70"/>
      <c r="N397" s="70"/>
      <c r="O397" s="164"/>
      <c r="P397" s="164">
        <v>2300</v>
      </c>
      <c r="Q397" s="164"/>
      <c r="R397" s="70"/>
      <c r="S397" s="70"/>
      <c r="T397" s="70"/>
      <c r="U397" s="70"/>
      <c r="V397" s="70"/>
      <c r="W397" s="70"/>
      <c r="X397" s="70"/>
      <c r="Y397" s="95">
        <f t="shared" si="167"/>
        <v>29000</v>
      </c>
    </row>
    <row r="398" spans="1:25" ht="21" customHeight="1">
      <c r="A398" s="93">
        <v>310500</v>
      </c>
      <c r="B398" s="68" t="s">
        <v>186</v>
      </c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164"/>
      <c r="P398" s="164"/>
      <c r="Q398" s="164"/>
      <c r="R398" s="70"/>
      <c r="S398" s="70"/>
      <c r="T398" s="70"/>
      <c r="U398" s="70"/>
      <c r="V398" s="70"/>
      <c r="W398" s="70"/>
      <c r="X398" s="70"/>
      <c r="Y398" s="95">
        <f t="shared" si="167"/>
        <v>0</v>
      </c>
    </row>
    <row r="399" spans="1:25" ht="21" customHeight="1">
      <c r="A399" s="96">
        <v>310600</v>
      </c>
      <c r="B399" s="69" t="s">
        <v>187</v>
      </c>
      <c r="C399" s="70"/>
      <c r="D399" s="70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165"/>
      <c r="P399" s="165"/>
      <c r="Q399" s="165"/>
      <c r="R399" s="76"/>
      <c r="S399" s="76"/>
      <c r="T399" s="76"/>
      <c r="U399" s="76"/>
      <c r="V399" s="76"/>
      <c r="W399" s="76"/>
      <c r="X399" s="76"/>
      <c r="Y399" s="98">
        <f>SUM(C399:X399)</f>
        <v>0</v>
      </c>
    </row>
    <row r="400" spans="1:25" ht="21" customHeight="1">
      <c r="A400" s="426" t="s">
        <v>174</v>
      </c>
      <c r="B400" s="427"/>
      <c r="C400" s="95">
        <f t="shared" ref="C400:K400" si="168">SUM(C394:C399)</f>
        <v>11800</v>
      </c>
      <c r="D400" s="95">
        <f t="shared" si="168"/>
        <v>4600</v>
      </c>
      <c r="E400" s="95">
        <f t="shared" si="168"/>
        <v>2500</v>
      </c>
      <c r="F400" s="95">
        <f t="shared" si="168"/>
        <v>0</v>
      </c>
      <c r="G400" s="95">
        <f t="shared" si="168"/>
        <v>3000</v>
      </c>
      <c r="H400" s="95">
        <f t="shared" si="168"/>
        <v>0</v>
      </c>
      <c r="I400" s="95">
        <f t="shared" si="168"/>
        <v>0</v>
      </c>
      <c r="J400" s="95">
        <f t="shared" si="168"/>
        <v>0</v>
      </c>
      <c r="K400" s="95">
        <f t="shared" si="168"/>
        <v>0</v>
      </c>
      <c r="L400" s="95">
        <f>SUM(L394:L399)</f>
        <v>4800</v>
      </c>
      <c r="M400" s="95">
        <f>SUM(M394:M399)</f>
        <v>0</v>
      </c>
      <c r="N400" s="95">
        <f>SUM(N394:N399)</f>
        <v>0</v>
      </c>
      <c r="O400" s="95">
        <f t="shared" ref="O400:V400" si="169">SUM(O394:O399)</f>
        <v>0</v>
      </c>
      <c r="P400" s="95">
        <f t="shared" si="169"/>
        <v>2300</v>
      </c>
      <c r="Q400" s="95">
        <f t="shared" si="169"/>
        <v>0</v>
      </c>
      <c r="R400" s="95">
        <f t="shared" si="169"/>
        <v>0</v>
      </c>
      <c r="S400" s="95">
        <f t="shared" si="169"/>
        <v>0</v>
      </c>
      <c r="T400" s="95">
        <f t="shared" si="169"/>
        <v>0</v>
      </c>
      <c r="U400" s="95">
        <f t="shared" si="169"/>
        <v>0</v>
      </c>
      <c r="V400" s="95">
        <f t="shared" si="169"/>
        <v>0</v>
      </c>
      <c r="W400" s="95">
        <f>SUM(W394:W399)</f>
        <v>0</v>
      </c>
      <c r="X400" s="95">
        <f>SUM(X394:X399)</f>
        <v>0</v>
      </c>
      <c r="Y400" s="95">
        <f>SUM(C400:X400)</f>
        <v>29000</v>
      </c>
    </row>
    <row r="401" spans="1:25" ht="21" customHeight="1">
      <c r="A401" s="428" t="s">
        <v>175</v>
      </c>
      <c r="B401" s="429"/>
      <c r="C401" s="99">
        <f>+C400+C283</f>
        <v>46653.25</v>
      </c>
      <c r="D401" s="99">
        <f t="shared" ref="D401:W401" si="170">+D400+D283</f>
        <v>13800</v>
      </c>
      <c r="E401" s="99">
        <f t="shared" si="170"/>
        <v>7500</v>
      </c>
      <c r="F401" s="99">
        <f t="shared" si="170"/>
        <v>0</v>
      </c>
      <c r="G401" s="99">
        <f t="shared" si="170"/>
        <v>9000</v>
      </c>
      <c r="H401" s="99">
        <f t="shared" si="170"/>
        <v>0</v>
      </c>
      <c r="I401" s="99">
        <f t="shared" si="170"/>
        <v>0</v>
      </c>
      <c r="J401" s="99">
        <f t="shared" si="170"/>
        <v>0</v>
      </c>
      <c r="K401" s="99">
        <f t="shared" si="170"/>
        <v>0</v>
      </c>
      <c r="L401" s="99">
        <f t="shared" si="170"/>
        <v>17700</v>
      </c>
      <c r="M401" s="99">
        <f t="shared" si="170"/>
        <v>0</v>
      </c>
      <c r="N401" s="99">
        <f t="shared" si="170"/>
        <v>0</v>
      </c>
      <c r="O401" s="99">
        <f t="shared" si="170"/>
        <v>0</v>
      </c>
      <c r="P401" s="99">
        <f t="shared" si="170"/>
        <v>6900</v>
      </c>
      <c r="Q401" s="99">
        <f t="shared" si="170"/>
        <v>0</v>
      </c>
      <c r="R401" s="99">
        <f t="shared" si="170"/>
        <v>0</v>
      </c>
      <c r="S401" s="99">
        <f t="shared" si="170"/>
        <v>0</v>
      </c>
      <c r="T401" s="99">
        <f t="shared" si="170"/>
        <v>0</v>
      </c>
      <c r="U401" s="99">
        <f t="shared" si="170"/>
        <v>0</v>
      </c>
      <c r="V401" s="99">
        <f t="shared" si="170"/>
        <v>0</v>
      </c>
      <c r="W401" s="99">
        <f t="shared" si="170"/>
        <v>0</v>
      </c>
      <c r="X401" s="99">
        <f>+X400+X283</f>
        <v>0</v>
      </c>
      <c r="Y401" s="99">
        <f>+Y400+Y283</f>
        <v>101553.25</v>
      </c>
    </row>
    <row r="402" spans="1:25" ht="21" customHeight="1">
      <c r="A402" s="432" t="s">
        <v>389</v>
      </c>
      <c r="B402" s="433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67"/>
      <c r="P402" s="167"/>
      <c r="Q402" s="167"/>
      <c r="R402" s="100"/>
      <c r="S402" s="100"/>
      <c r="T402" s="100"/>
      <c r="U402" s="100"/>
      <c r="V402" s="100"/>
      <c r="W402" s="100"/>
      <c r="X402" s="100"/>
      <c r="Y402" s="101">
        <f t="shared" ref="Y402" si="171">SUM(C402:X402)</f>
        <v>0</v>
      </c>
    </row>
    <row r="403" spans="1:25" ht="21" customHeight="1">
      <c r="A403" s="93">
        <v>320100</v>
      </c>
      <c r="B403" s="68" t="s">
        <v>188</v>
      </c>
      <c r="C403" s="70">
        <f>7000+7000+7000+2700</f>
        <v>23700</v>
      </c>
      <c r="D403" s="70"/>
      <c r="E403" s="70"/>
      <c r="F403" s="70"/>
      <c r="G403" s="70">
        <f>6000+7000+7000+4500</f>
        <v>24500</v>
      </c>
      <c r="H403" s="70"/>
      <c r="I403" s="70"/>
      <c r="J403" s="70">
        <v>7000</v>
      </c>
      <c r="K403" s="70"/>
      <c r="L403" s="70"/>
      <c r="M403" s="70"/>
      <c r="N403" s="70">
        <f>7000+7000+7000+7000+12882.5</f>
        <v>40882.5</v>
      </c>
      <c r="O403" s="164"/>
      <c r="P403" s="164"/>
      <c r="Q403" s="164">
        <v>4030</v>
      </c>
      <c r="R403" s="70"/>
      <c r="S403" s="70"/>
      <c r="T403" s="70"/>
      <c r="U403" s="70"/>
      <c r="V403" s="70"/>
      <c r="W403" s="70">
        <v>8000</v>
      </c>
      <c r="X403" s="70"/>
      <c r="Y403" s="95">
        <f>SUM(C403:X403)</f>
        <v>108112.5</v>
      </c>
    </row>
    <row r="404" spans="1:25" ht="21" customHeight="1">
      <c r="A404" s="93">
        <v>320200</v>
      </c>
      <c r="B404" s="68" t="s">
        <v>189</v>
      </c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164"/>
      <c r="P404" s="164"/>
      <c r="Q404" s="164"/>
      <c r="R404" s="70"/>
      <c r="S404" s="70"/>
      <c r="T404" s="70"/>
      <c r="U404" s="70"/>
      <c r="V404" s="70"/>
      <c r="W404" s="70"/>
      <c r="X404" s="70"/>
      <c r="Y404" s="95">
        <f>SUM(C404:X404)</f>
        <v>0</v>
      </c>
    </row>
    <row r="405" spans="1:25" ht="21" customHeight="1">
      <c r="A405" s="93">
        <v>320300</v>
      </c>
      <c r="B405" s="68" t="s">
        <v>190</v>
      </c>
      <c r="C405" s="70">
        <f>744+3350+13080+720</f>
        <v>17894</v>
      </c>
      <c r="D405" s="74"/>
      <c r="E405" s="70"/>
      <c r="F405" s="70">
        <f>1200</f>
        <v>1200</v>
      </c>
      <c r="G405" s="70"/>
      <c r="H405" s="70"/>
      <c r="I405" s="70"/>
      <c r="J405" s="70"/>
      <c r="K405" s="70"/>
      <c r="L405" s="70"/>
      <c r="M405" s="70"/>
      <c r="N405" s="70"/>
      <c r="O405" s="164"/>
      <c r="P405" s="164"/>
      <c r="Q405" s="164"/>
      <c r="R405" s="70"/>
      <c r="S405" s="70">
        <f>2880+12000</f>
        <v>14880</v>
      </c>
      <c r="T405" s="70"/>
      <c r="U405" s="70"/>
      <c r="V405" s="70"/>
      <c r="W405" s="70"/>
      <c r="X405" s="70"/>
      <c r="Y405" s="95">
        <f>SUM(C405:X405)</f>
        <v>33974</v>
      </c>
    </row>
    <row r="406" spans="1:25" ht="21" customHeight="1">
      <c r="A406" s="96">
        <v>320400</v>
      </c>
      <c r="B406" s="69" t="s">
        <v>191</v>
      </c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165"/>
      <c r="P406" s="165"/>
      <c r="Q406" s="165"/>
      <c r="R406" s="76"/>
      <c r="S406" s="76"/>
      <c r="T406" s="76"/>
      <c r="U406" s="76"/>
      <c r="V406" s="76"/>
      <c r="W406" s="76"/>
      <c r="X406" s="76"/>
      <c r="Y406" s="95">
        <f>SUM(C406:X406)</f>
        <v>0</v>
      </c>
    </row>
    <row r="407" spans="1:25" ht="21" customHeight="1">
      <c r="A407" s="426" t="s">
        <v>174</v>
      </c>
      <c r="B407" s="427"/>
      <c r="C407" s="95">
        <f>SUM(C403:C406)</f>
        <v>41594</v>
      </c>
      <c r="D407" s="95">
        <f t="shared" ref="D407:V407" si="172">SUM(D403:D406)</f>
        <v>0</v>
      </c>
      <c r="E407" s="95">
        <f t="shared" si="172"/>
        <v>0</v>
      </c>
      <c r="F407" s="95">
        <f t="shared" si="172"/>
        <v>1200</v>
      </c>
      <c r="G407" s="95">
        <f t="shared" si="172"/>
        <v>24500</v>
      </c>
      <c r="H407" s="95">
        <f t="shared" si="172"/>
        <v>0</v>
      </c>
      <c r="I407" s="95">
        <f t="shared" si="172"/>
        <v>0</v>
      </c>
      <c r="J407" s="95">
        <f t="shared" si="172"/>
        <v>7000</v>
      </c>
      <c r="K407" s="95">
        <f t="shared" si="172"/>
        <v>0</v>
      </c>
      <c r="L407" s="95">
        <f t="shared" si="172"/>
        <v>0</v>
      </c>
      <c r="M407" s="95">
        <f t="shared" si="172"/>
        <v>0</v>
      </c>
      <c r="N407" s="95">
        <f t="shared" si="172"/>
        <v>40882.5</v>
      </c>
      <c r="O407" s="95">
        <f t="shared" si="172"/>
        <v>0</v>
      </c>
      <c r="P407" s="95">
        <f t="shared" si="172"/>
        <v>0</v>
      </c>
      <c r="Q407" s="95">
        <f t="shared" si="172"/>
        <v>4030</v>
      </c>
      <c r="R407" s="95">
        <f t="shared" si="172"/>
        <v>0</v>
      </c>
      <c r="S407" s="95">
        <f t="shared" si="172"/>
        <v>14880</v>
      </c>
      <c r="T407" s="95">
        <f t="shared" si="172"/>
        <v>0</v>
      </c>
      <c r="U407" s="95">
        <f t="shared" si="172"/>
        <v>0</v>
      </c>
      <c r="V407" s="95">
        <f t="shared" si="172"/>
        <v>0</v>
      </c>
      <c r="W407" s="95">
        <f>SUM(W403:W406)</f>
        <v>8000</v>
      </c>
      <c r="X407" s="95">
        <f t="shared" ref="X407" si="173">SUM(X403:X406)</f>
        <v>0</v>
      </c>
      <c r="Y407" s="95">
        <f>SUM(Y403:Y406)</f>
        <v>142086.5</v>
      </c>
    </row>
    <row r="408" spans="1:25" ht="21" customHeight="1">
      <c r="A408" s="428" t="s">
        <v>175</v>
      </c>
      <c r="B408" s="429"/>
      <c r="C408" s="99">
        <f>+C407+C290</f>
        <v>264647.14</v>
      </c>
      <c r="D408" s="99">
        <f t="shared" ref="D408:Y408" si="174">+D407+D290</f>
        <v>13200</v>
      </c>
      <c r="E408" s="99">
        <f t="shared" si="174"/>
        <v>700</v>
      </c>
      <c r="F408" s="99">
        <f t="shared" si="174"/>
        <v>10200</v>
      </c>
      <c r="G408" s="99">
        <f t="shared" si="174"/>
        <v>87364</v>
      </c>
      <c r="H408" s="99">
        <f t="shared" si="174"/>
        <v>210000</v>
      </c>
      <c r="I408" s="99">
        <f t="shared" si="174"/>
        <v>0</v>
      </c>
      <c r="J408" s="99">
        <f t="shared" si="174"/>
        <v>21000</v>
      </c>
      <c r="K408" s="99">
        <f t="shared" si="174"/>
        <v>0</v>
      </c>
      <c r="L408" s="99">
        <f t="shared" si="174"/>
        <v>16289</v>
      </c>
      <c r="M408" s="99">
        <f t="shared" si="174"/>
        <v>0</v>
      </c>
      <c r="N408" s="99">
        <f t="shared" si="174"/>
        <v>195771.3</v>
      </c>
      <c r="O408" s="99">
        <f t="shared" si="174"/>
        <v>0</v>
      </c>
      <c r="P408" s="99">
        <f t="shared" si="174"/>
        <v>4030</v>
      </c>
      <c r="Q408" s="99">
        <f t="shared" si="174"/>
        <v>60120</v>
      </c>
      <c r="R408" s="99">
        <f t="shared" si="174"/>
        <v>12200</v>
      </c>
      <c r="S408" s="99">
        <f t="shared" si="174"/>
        <v>25280</v>
      </c>
      <c r="T408" s="99">
        <f t="shared" si="174"/>
        <v>0</v>
      </c>
      <c r="U408" s="99">
        <f t="shared" si="174"/>
        <v>0</v>
      </c>
      <c r="V408" s="99">
        <f t="shared" si="174"/>
        <v>0</v>
      </c>
      <c r="W408" s="99">
        <f t="shared" si="174"/>
        <v>24000</v>
      </c>
      <c r="X408" s="99">
        <f t="shared" si="174"/>
        <v>0</v>
      </c>
      <c r="Y408" s="99">
        <f t="shared" si="174"/>
        <v>944801.44</v>
      </c>
    </row>
    <row r="409" spans="1:25" ht="21" customHeight="1">
      <c r="A409" s="432" t="s">
        <v>390</v>
      </c>
      <c r="B409" s="433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67"/>
      <c r="P409" s="167"/>
      <c r="Q409" s="167"/>
      <c r="R409" s="100"/>
      <c r="S409" s="100"/>
      <c r="T409" s="100"/>
      <c r="U409" s="100"/>
      <c r="V409" s="100"/>
      <c r="W409" s="100"/>
      <c r="X409" s="100"/>
      <c r="Y409" s="101">
        <f>SUM(C409:X409)</f>
        <v>0</v>
      </c>
    </row>
    <row r="410" spans="1:25" ht="21" customHeight="1">
      <c r="A410" s="93">
        <v>330100</v>
      </c>
      <c r="B410" s="68" t="s">
        <v>192</v>
      </c>
      <c r="C410" s="70"/>
      <c r="D410" s="70"/>
      <c r="E410" s="70"/>
      <c r="F410" s="70"/>
      <c r="G410" s="70"/>
      <c r="H410" s="70"/>
      <c r="I410" s="70"/>
      <c r="J410" s="70"/>
      <c r="K410" s="70"/>
      <c r="L410" s="74"/>
      <c r="M410" s="70"/>
      <c r="N410" s="70"/>
      <c r="O410" s="164"/>
      <c r="P410" s="164"/>
      <c r="Q410" s="164"/>
      <c r="R410" s="70"/>
      <c r="S410" s="70"/>
      <c r="T410" s="70"/>
      <c r="U410" s="70"/>
      <c r="V410" s="70"/>
      <c r="W410" s="70"/>
      <c r="X410" s="70"/>
      <c r="Y410" s="95">
        <f>SUM(C410:X410)</f>
        <v>0</v>
      </c>
    </row>
    <row r="411" spans="1:25" ht="21" customHeight="1">
      <c r="A411" s="93">
        <v>330200</v>
      </c>
      <c r="B411" s="68" t="s">
        <v>193</v>
      </c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164"/>
      <c r="P411" s="164"/>
      <c r="Q411" s="164"/>
      <c r="R411" s="70"/>
      <c r="S411" s="70"/>
      <c r="T411" s="70"/>
      <c r="U411" s="70"/>
      <c r="V411" s="70"/>
      <c r="W411" s="70"/>
      <c r="X411" s="70"/>
      <c r="Y411" s="95">
        <f t="shared" ref="Y411:Y415" si="175">SUM(C411:X411)</f>
        <v>0</v>
      </c>
    </row>
    <row r="412" spans="1:25" ht="21" customHeight="1">
      <c r="A412" s="93">
        <v>330300</v>
      </c>
      <c r="B412" s="68" t="s">
        <v>235</v>
      </c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164"/>
      <c r="P412" s="164"/>
      <c r="Q412" s="164"/>
      <c r="R412" s="70"/>
      <c r="S412" s="70"/>
      <c r="T412" s="70"/>
      <c r="U412" s="70"/>
      <c r="V412" s="70"/>
      <c r="W412" s="70"/>
      <c r="X412" s="70"/>
      <c r="Y412" s="95">
        <f t="shared" si="175"/>
        <v>0</v>
      </c>
    </row>
    <row r="413" spans="1:25" ht="21" customHeight="1">
      <c r="A413" s="93">
        <v>330400</v>
      </c>
      <c r="B413" s="68" t="s">
        <v>210</v>
      </c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164"/>
      <c r="P413" s="164"/>
      <c r="Q413" s="164"/>
      <c r="R413" s="70"/>
      <c r="S413" s="70"/>
      <c r="T413" s="70"/>
      <c r="U413" s="70"/>
      <c r="V413" s="70"/>
      <c r="W413" s="70"/>
      <c r="X413" s="70"/>
      <c r="Y413" s="95">
        <f t="shared" si="175"/>
        <v>0</v>
      </c>
    </row>
    <row r="414" spans="1:25" ht="21" customHeight="1">
      <c r="A414" s="93">
        <v>330600</v>
      </c>
      <c r="B414" s="68" t="s">
        <v>194</v>
      </c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164"/>
      <c r="P414" s="164"/>
      <c r="Q414" s="164"/>
      <c r="R414" s="70"/>
      <c r="S414" s="70"/>
      <c r="T414" s="70"/>
      <c r="U414" s="70"/>
      <c r="V414" s="70"/>
      <c r="W414" s="70"/>
      <c r="X414" s="70"/>
      <c r="Y414" s="95">
        <f t="shared" si="175"/>
        <v>0</v>
      </c>
    </row>
    <row r="415" spans="1:25" ht="21" customHeight="1">
      <c r="A415" s="93">
        <v>330700</v>
      </c>
      <c r="B415" s="68" t="s">
        <v>310</v>
      </c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164"/>
      <c r="P415" s="164"/>
      <c r="Q415" s="164"/>
      <c r="R415" s="70"/>
      <c r="S415" s="70"/>
      <c r="T415" s="70"/>
      <c r="U415" s="70"/>
      <c r="V415" s="70"/>
      <c r="W415" s="70"/>
      <c r="X415" s="70"/>
      <c r="Y415" s="95">
        <f t="shared" si="175"/>
        <v>0</v>
      </c>
    </row>
    <row r="416" spans="1:25" ht="21" customHeight="1">
      <c r="A416" s="93">
        <v>330800</v>
      </c>
      <c r="B416" s="68" t="s">
        <v>195</v>
      </c>
      <c r="C416" s="70">
        <v>20816.78</v>
      </c>
      <c r="D416" s="70">
        <v>145.96</v>
      </c>
      <c r="E416" s="70"/>
      <c r="F416" s="70"/>
      <c r="G416" s="70"/>
      <c r="H416" s="70"/>
      <c r="I416" s="70"/>
      <c r="J416" s="70">
        <v>6436</v>
      </c>
      <c r="K416" s="70"/>
      <c r="L416" s="70">
        <v>122.5</v>
      </c>
      <c r="M416" s="70">
        <v>16806.900000000001</v>
      </c>
      <c r="N416" s="70">
        <v>26823.45</v>
      </c>
      <c r="O416" s="164"/>
      <c r="P416" s="164"/>
      <c r="Q416" s="164"/>
      <c r="R416" s="70"/>
      <c r="S416" s="70"/>
      <c r="T416" s="70"/>
      <c r="U416" s="70"/>
      <c r="V416" s="70"/>
      <c r="W416" s="70"/>
      <c r="X416" s="70"/>
      <c r="Y416" s="95">
        <f>SUM(C416:X416)</f>
        <v>71151.59</v>
      </c>
    </row>
    <row r="417" spans="1:25" ht="21" customHeight="1">
      <c r="A417" s="93">
        <v>330900</v>
      </c>
      <c r="B417" s="68" t="s">
        <v>197</v>
      </c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164"/>
      <c r="P417" s="164"/>
      <c r="Q417" s="164"/>
      <c r="R417" s="70"/>
      <c r="S417" s="70"/>
      <c r="T417" s="70"/>
      <c r="U417" s="70"/>
      <c r="V417" s="70"/>
      <c r="W417" s="70"/>
      <c r="X417" s="70"/>
      <c r="Y417" s="95">
        <f t="shared" ref="Y417" si="176">SUM(C417:X417)</f>
        <v>0</v>
      </c>
    </row>
    <row r="418" spans="1:25" ht="21" customHeight="1">
      <c r="A418" s="435" t="s">
        <v>139</v>
      </c>
      <c r="B418" s="435"/>
      <c r="C418" s="434" t="s">
        <v>141</v>
      </c>
      <c r="D418" s="434"/>
      <c r="E418" s="437" t="s">
        <v>144</v>
      </c>
      <c r="F418" s="438"/>
      <c r="G418" s="434" t="s">
        <v>146</v>
      </c>
      <c r="H418" s="435"/>
      <c r="I418" s="437" t="s">
        <v>160</v>
      </c>
      <c r="J418" s="438"/>
      <c r="K418" s="359" t="s">
        <v>161</v>
      </c>
      <c r="L418" s="437" t="s">
        <v>162</v>
      </c>
      <c r="M418" s="439"/>
      <c r="N418" s="439"/>
      <c r="O418" s="438"/>
      <c r="P418" s="437" t="s">
        <v>163</v>
      </c>
      <c r="Q418" s="438"/>
      <c r="R418" s="437" t="s">
        <v>164</v>
      </c>
      <c r="S418" s="439"/>
      <c r="T418" s="438"/>
      <c r="U418" s="434" t="s">
        <v>165</v>
      </c>
      <c r="V418" s="435"/>
      <c r="W418" s="359" t="s">
        <v>212</v>
      </c>
      <c r="X418" s="359" t="s">
        <v>166</v>
      </c>
      <c r="Y418" s="436" t="s">
        <v>17</v>
      </c>
    </row>
    <row r="419" spans="1:25" ht="21" customHeight="1">
      <c r="A419" s="435" t="s">
        <v>140</v>
      </c>
      <c r="B419" s="435"/>
      <c r="C419" s="370" t="s">
        <v>142</v>
      </c>
      <c r="D419" s="359" t="s">
        <v>143</v>
      </c>
      <c r="E419" s="359" t="s">
        <v>145</v>
      </c>
      <c r="F419" s="359" t="s">
        <v>214</v>
      </c>
      <c r="G419" s="359" t="s">
        <v>147</v>
      </c>
      <c r="H419" s="359" t="s">
        <v>148</v>
      </c>
      <c r="I419" s="359" t="s">
        <v>149</v>
      </c>
      <c r="J419" s="359" t="s">
        <v>150</v>
      </c>
      <c r="K419" s="359" t="s">
        <v>151</v>
      </c>
      <c r="L419" s="359" t="s">
        <v>152</v>
      </c>
      <c r="M419" s="359" t="s">
        <v>153</v>
      </c>
      <c r="N419" s="359" t="s">
        <v>238</v>
      </c>
      <c r="O419" s="359" t="s">
        <v>331</v>
      </c>
      <c r="P419" s="360" t="s">
        <v>303</v>
      </c>
      <c r="Q419" s="360" t="s">
        <v>154</v>
      </c>
      <c r="R419" s="359" t="s">
        <v>155</v>
      </c>
      <c r="S419" s="359" t="s">
        <v>156</v>
      </c>
      <c r="T419" s="359" t="s">
        <v>216</v>
      </c>
      <c r="U419" s="359" t="s">
        <v>157</v>
      </c>
      <c r="V419" s="359" t="s">
        <v>158</v>
      </c>
      <c r="W419" s="359" t="s">
        <v>213</v>
      </c>
      <c r="X419" s="359" t="s">
        <v>159</v>
      </c>
      <c r="Y419" s="436"/>
    </row>
    <row r="420" spans="1:25" ht="21" customHeight="1">
      <c r="A420" s="224">
        <v>331000</v>
      </c>
      <c r="B420" s="227" t="s">
        <v>300</v>
      </c>
      <c r="C420" s="228"/>
      <c r="D420" s="225"/>
      <c r="E420" s="225"/>
      <c r="F420" s="225"/>
      <c r="G420" s="225"/>
      <c r="H420" s="225"/>
      <c r="I420" s="225"/>
      <c r="J420" s="225"/>
      <c r="K420" s="225"/>
      <c r="L420" s="225"/>
      <c r="M420" s="225"/>
      <c r="N420" s="225"/>
      <c r="O420" s="226"/>
      <c r="P420" s="226"/>
      <c r="Q420" s="226"/>
      <c r="R420" s="225"/>
      <c r="S420" s="225"/>
      <c r="T420" s="225"/>
      <c r="U420" s="225"/>
      <c r="V420" s="225"/>
      <c r="W420" s="225"/>
      <c r="X420" s="225"/>
      <c r="Y420" s="95">
        <f>SUM(C420:X420)</f>
        <v>0</v>
      </c>
    </row>
    <row r="421" spans="1:25" ht="21" customHeight="1">
      <c r="A421" s="93">
        <v>331200</v>
      </c>
      <c r="B421" s="68" t="s">
        <v>198</v>
      </c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164"/>
      <c r="P421" s="164"/>
      <c r="Q421" s="164"/>
      <c r="R421" s="70"/>
      <c r="S421" s="70"/>
      <c r="T421" s="70"/>
      <c r="U421" s="70"/>
      <c r="V421" s="70"/>
      <c r="W421" s="70"/>
      <c r="X421" s="70"/>
      <c r="Y421" s="95">
        <f>SUM(C421:X421)</f>
        <v>0</v>
      </c>
    </row>
    <row r="422" spans="1:25" ht="21" customHeight="1">
      <c r="A422" s="93">
        <v>331300</v>
      </c>
      <c r="B422" s="68" t="s">
        <v>199</v>
      </c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164"/>
      <c r="P422" s="164"/>
      <c r="Q422" s="164"/>
      <c r="R422" s="70"/>
      <c r="S422" s="70"/>
      <c r="T422" s="70"/>
      <c r="U422" s="70"/>
      <c r="V422" s="70"/>
      <c r="W422" s="70"/>
      <c r="X422" s="70"/>
      <c r="Y422" s="95">
        <f t="shared" ref="Y422:Y425" si="177">SUM(C422:X422)</f>
        <v>0</v>
      </c>
    </row>
    <row r="423" spans="1:25" ht="21" customHeight="1">
      <c r="A423" s="93">
        <v>331400</v>
      </c>
      <c r="B423" s="68" t="s">
        <v>196</v>
      </c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164"/>
      <c r="P423" s="164"/>
      <c r="Q423" s="164"/>
      <c r="R423" s="70"/>
      <c r="S423" s="70"/>
      <c r="T423" s="70"/>
      <c r="U423" s="70"/>
      <c r="V423" s="70"/>
      <c r="W423" s="70"/>
      <c r="X423" s="70"/>
      <c r="Y423" s="95">
        <f t="shared" si="177"/>
        <v>0</v>
      </c>
    </row>
    <row r="424" spans="1:25" ht="21" customHeight="1">
      <c r="A424" s="93">
        <v>331500</v>
      </c>
      <c r="B424" s="68" t="s">
        <v>200</v>
      </c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164"/>
      <c r="P424" s="164"/>
      <c r="Q424" s="164"/>
      <c r="R424" s="70"/>
      <c r="S424" s="70"/>
      <c r="T424" s="70"/>
      <c r="U424" s="70"/>
      <c r="V424" s="70"/>
      <c r="W424" s="70"/>
      <c r="X424" s="70"/>
      <c r="Y424" s="95">
        <f t="shared" si="177"/>
        <v>0</v>
      </c>
    </row>
    <row r="425" spans="1:25" ht="21" customHeight="1">
      <c r="A425" s="96">
        <v>331700</v>
      </c>
      <c r="B425" s="69" t="s">
        <v>201</v>
      </c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165"/>
      <c r="P425" s="165"/>
      <c r="Q425" s="165"/>
      <c r="R425" s="76"/>
      <c r="S425" s="76"/>
      <c r="T425" s="76"/>
      <c r="U425" s="76"/>
      <c r="V425" s="76"/>
      <c r="W425" s="76"/>
      <c r="X425" s="76"/>
      <c r="Y425" s="95">
        <f t="shared" si="177"/>
        <v>0</v>
      </c>
    </row>
    <row r="426" spans="1:25" ht="21" customHeight="1">
      <c r="A426" s="426" t="s">
        <v>174</v>
      </c>
      <c r="B426" s="427"/>
      <c r="C426" s="95">
        <f t="shared" ref="C426:X426" si="178">SUM(C410:C425)</f>
        <v>20816.78</v>
      </c>
      <c r="D426" s="95">
        <f t="shared" si="178"/>
        <v>145.96</v>
      </c>
      <c r="E426" s="95">
        <f t="shared" si="178"/>
        <v>0</v>
      </c>
      <c r="F426" s="95">
        <f t="shared" si="178"/>
        <v>0</v>
      </c>
      <c r="G426" s="95">
        <f t="shared" si="178"/>
        <v>0</v>
      </c>
      <c r="H426" s="95">
        <f t="shared" si="178"/>
        <v>0</v>
      </c>
      <c r="I426" s="95">
        <f t="shared" si="178"/>
        <v>0</v>
      </c>
      <c r="J426" s="95">
        <f t="shared" si="178"/>
        <v>6436</v>
      </c>
      <c r="K426" s="95">
        <f t="shared" si="178"/>
        <v>0</v>
      </c>
      <c r="L426" s="95">
        <f t="shared" si="178"/>
        <v>122.5</v>
      </c>
      <c r="M426" s="95">
        <f t="shared" si="178"/>
        <v>16806.900000000001</v>
      </c>
      <c r="N426" s="95">
        <f t="shared" si="178"/>
        <v>26823.45</v>
      </c>
      <c r="O426" s="95">
        <f t="shared" si="178"/>
        <v>0</v>
      </c>
      <c r="P426" s="95">
        <f t="shared" si="178"/>
        <v>0</v>
      </c>
      <c r="Q426" s="95">
        <f t="shared" si="178"/>
        <v>0</v>
      </c>
      <c r="R426" s="95">
        <f t="shared" si="178"/>
        <v>0</v>
      </c>
      <c r="S426" s="95">
        <f t="shared" si="178"/>
        <v>0</v>
      </c>
      <c r="T426" s="95">
        <f t="shared" si="178"/>
        <v>0</v>
      </c>
      <c r="U426" s="95">
        <f t="shared" si="178"/>
        <v>0</v>
      </c>
      <c r="V426" s="95">
        <f t="shared" si="178"/>
        <v>0</v>
      </c>
      <c r="W426" s="95">
        <f t="shared" si="178"/>
        <v>0</v>
      </c>
      <c r="X426" s="95">
        <f t="shared" si="178"/>
        <v>0</v>
      </c>
      <c r="Y426" s="95">
        <f>SUM(Y410:Y425)</f>
        <v>71151.59</v>
      </c>
    </row>
    <row r="427" spans="1:25" ht="21" customHeight="1">
      <c r="A427" s="428" t="s">
        <v>175</v>
      </c>
      <c r="B427" s="429"/>
      <c r="C427" s="99">
        <f>+C426+C309</f>
        <v>174287.00999999998</v>
      </c>
      <c r="D427" s="99">
        <f t="shared" ref="D427:Y427" si="179">+D426+D309</f>
        <v>38017.86</v>
      </c>
      <c r="E427" s="99">
        <f t="shared" si="179"/>
        <v>0</v>
      </c>
      <c r="F427" s="99">
        <f t="shared" si="179"/>
        <v>0</v>
      </c>
      <c r="G427" s="99">
        <f t="shared" si="179"/>
        <v>0</v>
      </c>
      <c r="H427" s="99">
        <f t="shared" si="179"/>
        <v>0</v>
      </c>
      <c r="I427" s="99">
        <f t="shared" si="179"/>
        <v>0</v>
      </c>
      <c r="J427" s="99">
        <f t="shared" si="179"/>
        <v>18510</v>
      </c>
      <c r="K427" s="99">
        <f t="shared" si="179"/>
        <v>0</v>
      </c>
      <c r="L427" s="99">
        <f t="shared" si="179"/>
        <v>21880.100000000002</v>
      </c>
      <c r="M427" s="99">
        <f t="shared" si="179"/>
        <v>55466.1</v>
      </c>
      <c r="N427" s="99">
        <f t="shared" si="179"/>
        <v>82787.86</v>
      </c>
      <c r="O427" s="99">
        <f t="shared" si="179"/>
        <v>0</v>
      </c>
      <c r="P427" s="99">
        <f t="shared" si="179"/>
        <v>0</v>
      </c>
      <c r="Q427" s="99">
        <f t="shared" si="179"/>
        <v>0</v>
      </c>
      <c r="R427" s="99">
        <f t="shared" si="179"/>
        <v>2980</v>
      </c>
      <c r="S427" s="99">
        <f t="shared" si="179"/>
        <v>0</v>
      </c>
      <c r="T427" s="99">
        <f t="shared" si="179"/>
        <v>0</v>
      </c>
      <c r="U427" s="99">
        <f t="shared" si="179"/>
        <v>0</v>
      </c>
      <c r="V427" s="99">
        <f t="shared" si="179"/>
        <v>0</v>
      </c>
      <c r="W427" s="99">
        <f t="shared" si="179"/>
        <v>10361</v>
      </c>
      <c r="X427" s="99">
        <f t="shared" si="179"/>
        <v>0</v>
      </c>
      <c r="Y427" s="99">
        <f t="shared" si="179"/>
        <v>404289.92999999993</v>
      </c>
    </row>
    <row r="428" spans="1:25" ht="21" customHeight="1">
      <c r="A428" s="432" t="s">
        <v>391</v>
      </c>
      <c r="B428" s="433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67"/>
      <c r="P428" s="167"/>
      <c r="Q428" s="167"/>
      <c r="R428" s="100"/>
      <c r="S428" s="100"/>
      <c r="T428" s="100"/>
      <c r="U428" s="100"/>
      <c r="V428" s="100"/>
      <c r="W428" s="100"/>
      <c r="X428" s="100"/>
      <c r="Y428" s="101">
        <f t="shared" ref="Y428" si="180">SUM(C428:X428)</f>
        <v>0</v>
      </c>
    </row>
    <row r="429" spans="1:25" ht="21" customHeight="1">
      <c r="A429" s="93">
        <v>340100</v>
      </c>
      <c r="B429" s="68" t="s">
        <v>202</v>
      </c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164"/>
      <c r="P429" s="164"/>
      <c r="Q429" s="164"/>
      <c r="R429" s="70"/>
      <c r="S429" s="70"/>
      <c r="T429" s="70"/>
      <c r="U429" s="70"/>
      <c r="V429" s="70"/>
      <c r="W429" s="70"/>
      <c r="X429" s="70"/>
      <c r="Y429" s="95">
        <f>SUM(C429:X429)</f>
        <v>0</v>
      </c>
    </row>
    <row r="430" spans="1:25" ht="21" customHeight="1">
      <c r="A430" s="93">
        <v>340300</v>
      </c>
      <c r="B430" s="68" t="s">
        <v>203</v>
      </c>
      <c r="C430" s="70">
        <f>379.53+427.36</f>
        <v>806.89</v>
      </c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164"/>
      <c r="P430" s="164"/>
      <c r="Q430" s="164"/>
      <c r="R430" s="70"/>
      <c r="S430" s="70"/>
      <c r="T430" s="70"/>
      <c r="U430" s="70"/>
      <c r="V430" s="70"/>
      <c r="W430" s="70"/>
      <c r="X430" s="70"/>
      <c r="Y430" s="95">
        <f t="shared" ref="Y430:Y432" si="181">SUM(C430:X430)</f>
        <v>806.89</v>
      </c>
    </row>
    <row r="431" spans="1:25" ht="21" customHeight="1">
      <c r="A431" s="93">
        <v>340400</v>
      </c>
      <c r="B431" s="68" t="s">
        <v>204</v>
      </c>
      <c r="C431" s="70">
        <v>2660</v>
      </c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164"/>
      <c r="P431" s="164"/>
      <c r="Q431" s="164"/>
      <c r="R431" s="70"/>
      <c r="S431" s="70"/>
      <c r="T431" s="70"/>
      <c r="U431" s="70"/>
      <c r="V431" s="70"/>
      <c r="W431" s="70"/>
      <c r="X431" s="70"/>
      <c r="Y431" s="95">
        <f t="shared" si="181"/>
        <v>2660</v>
      </c>
    </row>
    <row r="432" spans="1:25" ht="21" customHeight="1">
      <c r="A432" s="96">
        <v>340500</v>
      </c>
      <c r="B432" s="69" t="s">
        <v>205</v>
      </c>
      <c r="C432" s="70">
        <f>8560+8560</f>
        <v>17120</v>
      </c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165"/>
      <c r="P432" s="165"/>
      <c r="Q432" s="165"/>
      <c r="R432" s="76"/>
      <c r="S432" s="76"/>
      <c r="T432" s="76"/>
      <c r="U432" s="76"/>
      <c r="V432" s="76"/>
      <c r="W432" s="76"/>
      <c r="X432" s="76"/>
      <c r="Y432" s="98">
        <f t="shared" si="181"/>
        <v>17120</v>
      </c>
    </row>
    <row r="433" spans="1:25" ht="21" customHeight="1">
      <c r="A433" s="426" t="s">
        <v>174</v>
      </c>
      <c r="B433" s="427"/>
      <c r="C433" s="95">
        <f>SUM(C429:C432)</f>
        <v>20586.89</v>
      </c>
      <c r="D433" s="95">
        <f t="shared" ref="D433:Y433" si="182">SUM(D429:D432)</f>
        <v>0</v>
      </c>
      <c r="E433" s="95">
        <f t="shared" si="182"/>
        <v>0</v>
      </c>
      <c r="F433" s="95">
        <f t="shared" si="182"/>
        <v>0</v>
      </c>
      <c r="G433" s="95">
        <f t="shared" si="182"/>
        <v>0</v>
      </c>
      <c r="H433" s="95">
        <f t="shared" si="182"/>
        <v>0</v>
      </c>
      <c r="I433" s="95">
        <f t="shared" si="182"/>
        <v>0</v>
      </c>
      <c r="J433" s="95">
        <f t="shared" si="182"/>
        <v>0</v>
      </c>
      <c r="K433" s="95">
        <f t="shared" si="182"/>
        <v>0</v>
      </c>
      <c r="L433" s="95">
        <f t="shared" si="182"/>
        <v>0</v>
      </c>
      <c r="M433" s="95">
        <f t="shared" si="182"/>
        <v>0</v>
      </c>
      <c r="N433" s="95">
        <f t="shared" si="182"/>
        <v>0</v>
      </c>
      <c r="O433" s="95">
        <f t="shared" si="182"/>
        <v>0</v>
      </c>
      <c r="P433" s="95">
        <f t="shared" si="182"/>
        <v>0</v>
      </c>
      <c r="Q433" s="95">
        <f t="shared" si="182"/>
        <v>0</v>
      </c>
      <c r="R433" s="95">
        <f t="shared" si="182"/>
        <v>0</v>
      </c>
      <c r="S433" s="95">
        <f t="shared" si="182"/>
        <v>0</v>
      </c>
      <c r="T433" s="95">
        <f t="shared" si="182"/>
        <v>0</v>
      </c>
      <c r="U433" s="95">
        <f t="shared" si="182"/>
        <v>0</v>
      </c>
      <c r="V433" s="95">
        <f t="shared" si="182"/>
        <v>0</v>
      </c>
      <c r="W433" s="95">
        <f t="shared" si="182"/>
        <v>0</v>
      </c>
      <c r="X433" s="95">
        <f t="shared" si="182"/>
        <v>0</v>
      </c>
      <c r="Y433" s="95">
        <f t="shared" si="182"/>
        <v>20586.89</v>
      </c>
    </row>
    <row r="434" spans="1:25" ht="21" customHeight="1">
      <c r="A434" s="428" t="s">
        <v>175</v>
      </c>
      <c r="B434" s="429"/>
      <c r="C434" s="99">
        <f>+C433+C316</f>
        <v>112598.7</v>
      </c>
      <c r="D434" s="99">
        <f t="shared" ref="D434:Y434" si="183">+D433+D316</f>
        <v>0</v>
      </c>
      <c r="E434" s="99">
        <f t="shared" si="183"/>
        <v>0</v>
      </c>
      <c r="F434" s="99">
        <f t="shared" si="183"/>
        <v>0</v>
      </c>
      <c r="G434" s="99">
        <f t="shared" si="183"/>
        <v>0</v>
      </c>
      <c r="H434" s="99">
        <f t="shared" si="183"/>
        <v>0</v>
      </c>
      <c r="I434" s="99">
        <f t="shared" si="183"/>
        <v>0</v>
      </c>
      <c r="J434" s="99">
        <f t="shared" si="183"/>
        <v>0</v>
      </c>
      <c r="K434" s="99">
        <f t="shared" si="183"/>
        <v>0</v>
      </c>
      <c r="L434" s="99">
        <f t="shared" si="183"/>
        <v>0</v>
      </c>
      <c r="M434" s="99">
        <f t="shared" si="183"/>
        <v>0</v>
      </c>
      <c r="N434" s="99">
        <f t="shared" si="183"/>
        <v>0</v>
      </c>
      <c r="O434" s="99">
        <f t="shared" si="183"/>
        <v>0</v>
      </c>
      <c r="P434" s="99">
        <f t="shared" si="183"/>
        <v>0</v>
      </c>
      <c r="Q434" s="99">
        <f t="shared" si="183"/>
        <v>0</v>
      </c>
      <c r="R434" s="99">
        <f t="shared" si="183"/>
        <v>0</v>
      </c>
      <c r="S434" s="99">
        <f t="shared" si="183"/>
        <v>0</v>
      </c>
      <c r="T434" s="99">
        <f t="shared" si="183"/>
        <v>0</v>
      </c>
      <c r="U434" s="99">
        <f t="shared" si="183"/>
        <v>0</v>
      </c>
      <c r="V434" s="99">
        <f t="shared" si="183"/>
        <v>0</v>
      </c>
      <c r="W434" s="99">
        <f t="shared" si="183"/>
        <v>141968.04999999999</v>
      </c>
      <c r="X434" s="99">
        <f t="shared" si="183"/>
        <v>0</v>
      </c>
      <c r="Y434" s="99">
        <f t="shared" si="183"/>
        <v>254566.75000000006</v>
      </c>
    </row>
    <row r="435" spans="1:25" ht="21" customHeight="1">
      <c r="A435" s="432" t="s">
        <v>392</v>
      </c>
      <c r="B435" s="433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67"/>
      <c r="P435" s="167"/>
      <c r="Q435" s="167"/>
      <c r="R435" s="100"/>
      <c r="S435" s="100"/>
      <c r="T435" s="100"/>
      <c r="U435" s="100"/>
      <c r="V435" s="100"/>
      <c r="W435" s="100"/>
      <c r="X435" s="100"/>
      <c r="Y435" s="101">
        <f t="shared" ref="Y435:Y447" si="184">SUM(C435:X435)</f>
        <v>0</v>
      </c>
    </row>
    <row r="436" spans="1:25" ht="21" customHeight="1">
      <c r="A436" s="93">
        <v>410400</v>
      </c>
      <c r="B436" s="68" t="s">
        <v>206</v>
      </c>
      <c r="C436" s="70"/>
      <c r="D436" s="70">
        <v>14970</v>
      </c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164"/>
      <c r="P436" s="164"/>
      <c r="Q436" s="164"/>
      <c r="R436" s="70"/>
      <c r="S436" s="70"/>
      <c r="T436" s="70"/>
      <c r="U436" s="70"/>
      <c r="V436" s="70"/>
      <c r="W436" s="70"/>
      <c r="X436" s="70"/>
      <c r="Y436" s="95">
        <f t="shared" si="184"/>
        <v>14970</v>
      </c>
    </row>
    <row r="437" spans="1:25" ht="21" customHeight="1">
      <c r="A437" s="93">
        <v>410200</v>
      </c>
      <c r="B437" s="68" t="s">
        <v>224</v>
      </c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164"/>
      <c r="P437" s="164"/>
      <c r="Q437" s="164"/>
      <c r="R437" s="70"/>
      <c r="S437" s="70"/>
      <c r="T437" s="70"/>
      <c r="U437" s="70"/>
      <c r="V437" s="70"/>
      <c r="W437" s="70"/>
      <c r="X437" s="70"/>
      <c r="Y437" s="95">
        <f t="shared" si="184"/>
        <v>0</v>
      </c>
    </row>
    <row r="438" spans="1:25" ht="21" customHeight="1">
      <c r="A438" s="93">
        <v>410300</v>
      </c>
      <c r="B438" s="68" t="s">
        <v>207</v>
      </c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164"/>
      <c r="P438" s="164"/>
      <c r="Q438" s="164"/>
      <c r="R438" s="70"/>
      <c r="S438" s="70"/>
      <c r="T438" s="70"/>
      <c r="U438" s="70"/>
      <c r="V438" s="70"/>
      <c r="W438" s="70"/>
      <c r="X438" s="70"/>
      <c r="Y438" s="95">
        <f t="shared" si="184"/>
        <v>0</v>
      </c>
    </row>
    <row r="439" spans="1:25" ht="21" customHeight="1">
      <c r="A439" s="93">
        <v>410400</v>
      </c>
      <c r="B439" s="68" t="s">
        <v>225</v>
      </c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165"/>
      <c r="P439" s="165"/>
      <c r="Q439" s="165"/>
      <c r="R439" s="76"/>
      <c r="S439" s="76"/>
      <c r="T439" s="76"/>
      <c r="U439" s="76"/>
      <c r="V439" s="76"/>
      <c r="W439" s="76"/>
      <c r="X439" s="76"/>
      <c r="Y439" s="95">
        <f t="shared" si="184"/>
        <v>0</v>
      </c>
    </row>
    <row r="440" spans="1:25" ht="21" customHeight="1">
      <c r="A440" s="93">
        <v>410500</v>
      </c>
      <c r="B440" s="68" t="s">
        <v>226</v>
      </c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165"/>
      <c r="P440" s="165"/>
      <c r="Q440" s="165"/>
      <c r="R440" s="76"/>
      <c r="S440" s="76"/>
      <c r="T440" s="76"/>
      <c r="U440" s="76"/>
      <c r="V440" s="76"/>
      <c r="W440" s="76"/>
      <c r="X440" s="76"/>
      <c r="Y440" s="95">
        <f t="shared" si="184"/>
        <v>0</v>
      </c>
    </row>
    <row r="441" spans="1:25" ht="21" customHeight="1">
      <c r="A441" s="93">
        <v>410600</v>
      </c>
      <c r="B441" s="68" t="s">
        <v>227</v>
      </c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165"/>
      <c r="P441" s="165"/>
      <c r="Q441" s="165"/>
      <c r="R441" s="76"/>
      <c r="S441" s="76"/>
      <c r="T441" s="76"/>
      <c r="U441" s="76"/>
      <c r="V441" s="76"/>
      <c r="W441" s="76"/>
      <c r="X441" s="76"/>
      <c r="Y441" s="95">
        <f t="shared" si="184"/>
        <v>0</v>
      </c>
    </row>
    <row r="442" spans="1:25" ht="21" customHeight="1">
      <c r="A442" s="93">
        <v>410700</v>
      </c>
      <c r="B442" s="68" t="s">
        <v>208</v>
      </c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164"/>
      <c r="P442" s="164"/>
      <c r="Q442" s="164"/>
      <c r="R442" s="70"/>
      <c r="S442" s="70"/>
      <c r="T442" s="70"/>
      <c r="U442" s="70"/>
      <c r="V442" s="70"/>
      <c r="W442" s="70"/>
      <c r="X442" s="70"/>
      <c r="Y442" s="95">
        <f t="shared" si="184"/>
        <v>0</v>
      </c>
    </row>
    <row r="443" spans="1:25" ht="21" customHeight="1">
      <c r="A443" s="93">
        <v>410800</v>
      </c>
      <c r="B443" s="68" t="s">
        <v>228</v>
      </c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165"/>
      <c r="P443" s="165"/>
      <c r="Q443" s="165"/>
      <c r="R443" s="76"/>
      <c r="S443" s="76"/>
      <c r="T443" s="76"/>
      <c r="U443" s="76"/>
      <c r="V443" s="76"/>
      <c r="W443" s="76"/>
      <c r="X443" s="76"/>
      <c r="Y443" s="95">
        <f t="shared" si="184"/>
        <v>0</v>
      </c>
    </row>
    <row r="444" spans="1:25" ht="21" customHeight="1">
      <c r="A444" s="93">
        <v>410900</v>
      </c>
      <c r="B444" s="68" t="s">
        <v>243</v>
      </c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165"/>
      <c r="P444" s="165"/>
      <c r="Q444" s="165"/>
      <c r="R444" s="76"/>
      <c r="S444" s="76"/>
      <c r="T444" s="76"/>
      <c r="U444" s="76"/>
      <c r="V444" s="76"/>
      <c r="W444" s="76"/>
      <c r="X444" s="76"/>
      <c r="Y444" s="95">
        <f t="shared" si="184"/>
        <v>0</v>
      </c>
    </row>
    <row r="445" spans="1:25" ht="21" customHeight="1">
      <c r="A445" s="93">
        <v>411000</v>
      </c>
      <c r="B445" s="68" t="s">
        <v>295</v>
      </c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165"/>
      <c r="P445" s="165"/>
      <c r="Q445" s="165"/>
      <c r="R445" s="76"/>
      <c r="S445" s="76"/>
      <c r="T445" s="76"/>
      <c r="U445" s="76"/>
      <c r="V445" s="76"/>
      <c r="W445" s="76"/>
      <c r="X445" s="76"/>
      <c r="Y445" s="95">
        <f t="shared" si="184"/>
        <v>0</v>
      </c>
    </row>
    <row r="446" spans="1:25" ht="21" customHeight="1">
      <c r="A446" s="93">
        <v>411100</v>
      </c>
      <c r="B446" s="68" t="s">
        <v>260</v>
      </c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165"/>
      <c r="P446" s="165"/>
      <c r="Q446" s="165"/>
      <c r="R446" s="76"/>
      <c r="S446" s="76"/>
      <c r="T446" s="76"/>
      <c r="U446" s="76"/>
      <c r="V446" s="76"/>
      <c r="W446" s="76"/>
      <c r="X446" s="76"/>
      <c r="Y446" s="95">
        <f t="shared" si="184"/>
        <v>0</v>
      </c>
    </row>
    <row r="447" spans="1:25" ht="21" customHeight="1">
      <c r="A447" s="93">
        <v>411300</v>
      </c>
      <c r="B447" s="68" t="s">
        <v>296</v>
      </c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165"/>
      <c r="P447" s="165"/>
      <c r="Q447" s="165"/>
      <c r="R447" s="76"/>
      <c r="S447" s="76"/>
      <c r="T447" s="76"/>
      <c r="U447" s="76"/>
      <c r="V447" s="76"/>
      <c r="W447" s="76"/>
      <c r="X447" s="76"/>
      <c r="Y447" s="95">
        <f t="shared" si="184"/>
        <v>0</v>
      </c>
    </row>
    <row r="448" spans="1:25" ht="21" customHeight="1">
      <c r="A448" s="93">
        <v>411600</v>
      </c>
      <c r="B448" s="68" t="s">
        <v>229</v>
      </c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164"/>
      <c r="P448" s="164"/>
      <c r="Q448" s="164"/>
      <c r="R448" s="70"/>
      <c r="S448" s="70"/>
      <c r="T448" s="70"/>
      <c r="U448" s="70"/>
      <c r="V448" s="70"/>
      <c r="W448" s="70"/>
      <c r="X448" s="70"/>
      <c r="Y448" s="95">
        <f>SUM(C448:X448)</f>
        <v>0</v>
      </c>
    </row>
    <row r="449" spans="1:25" ht="21" customHeight="1">
      <c r="A449" s="93">
        <v>411800</v>
      </c>
      <c r="B449" s="68" t="s">
        <v>209</v>
      </c>
      <c r="C449" s="70"/>
      <c r="D449" s="70"/>
      <c r="E449" s="70"/>
      <c r="F449" s="70"/>
      <c r="G449" s="70">
        <v>0</v>
      </c>
      <c r="H449" s="70"/>
      <c r="I449" s="70"/>
      <c r="J449" s="70"/>
      <c r="K449" s="70"/>
      <c r="L449" s="70"/>
      <c r="M449" s="70"/>
      <c r="N449" s="70"/>
      <c r="O449" s="164"/>
      <c r="P449" s="164"/>
      <c r="Q449" s="164"/>
      <c r="R449" s="70"/>
      <c r="S449" s="70"/>
      <c r="T449" s="70"/>
      <c r="U449" s="70"/>
      <c r="V449" s="70"/>
      <c r="W449" s="70">
        <v>0</v>
      </c>
      <c r="X449" s="70"/>
      <c r="Y449" s="95">
        <f>SUM(C449:X449)</f>
        <v>0</v>
      </c>
    </row>
    <row r="450" spans="1:25" ht="21" customHeight="1">
      <c r="A450" s="426" t="s">
        <v>174</v>
      </c>
      <c r="B450" s="427"/>
      <c r="C450" s="95">
        <f>SUM(C436:C449)</f>
        <v>0</v>
      </c>
      <c r="D450" s="95">
        <f t="shared" ref="D450:X450" si="185">SUM(D436:D449)</f>
        <v>14970</v>
      </c>
      <c r="E450" s="95">
        <f t="shared" si="185"/>
        <v>0</v>
      </c>
      <c r="F450" s="95">
        <f t="shared" si="185"/>
        <v>0</v>
      </c>
      <c r="G450" s="95">
        <f t="shared" si="185"/>
        <v>0</v>
      </c>
      <c r="H450" s="95">
        <f t="shared" si="185"/>
        <v>0</v>
      </c>
      <c r="I450" s="95">
        <f t="shared" si="185"/>
        <v>0</v>
      </c>
      <c r="J450" s="95">
        <f t="shared" si="185"/>
        <v>0</v>
      </c>
      <c r="K450" s="95">
        <f t="shared" si="185"/>
        <v>0</v>
      </c>
      <c r="L450" s="95">
        <f t="shared" si="185"/>
        <v>0</v>
      </c>
      <c r="M450" s="95">
        <f t="shared" si="185"/>
        <v>0</v>
      </c>
      <c r="N450" s="95">
        <f t="shared" si="185"/>
        <v>0</v>
      </c>
      <c r="O450" s="95">
        <f t="shared" si="185"/>
        <v>0</v>
      </c>
      <c r="P450" s="95">
        <f t="shared" si="185"/>
        <v>0</v>
      </c>
      <c r="Q450" s="166">
        <f t="shared" si="185"/>
        <v>0</v>
      </c>
      <c r="R450" s="95">
        <f t="shared" si="185"/>
        <v>0</v>
      </c>
      <c r="S450" s="95">
        <f t="shared" si="185"/>
        <v>0</v>
      </c>
      <c r="T450" s="95">
        <f t="shared" si="185"/>
        <v>0</v>
      </c>
      <c r="U450" s="95">
        <f t="shared" si="185"/>
        <v>0</v>
      </c>
      <c r="V450" s="95">
        <f t="shared" si="185"/>
        <v>0</v>
      </c>
      <c r="W450" s="95">
        <f t="shared" si="185"/>
        <v>0</v>
      </c>
      <c r="X450" s="95">
        <f t="shared" si="185"/>
        <v>0</v>
      </c>
      <c r="Y450" s="95">
        <f>SUM(C450:X450)</f>
        <v>14970</v>
      </c>
    </row>
    <row r="451" spans="1:25" ht="21" customHeight="1">
      <c r="A451" s="428" t="s">
        <v>175</v>
      </c>
      <c r="B451" s="429"/>
      <c r="C451" s="99">
        <f>+C450+C333</f>
        <v>0</v>
      </c>
      <c r="D451" s="99">
        <f t="shared" ref="D451:Y451" si="186">+D450+D333</f>
        <v>14970</v>
      </c>
      <c r="E451" s="99">
        <f t="shared" si="186"/>
        <v>0</v>
      </c>
      <c r="F451" s="99">
        <f t="shared" si="186"/>
        <v>0</v>
      </c>
      <c r="G451" s="99">
        <f t="shared" si="186"/>
        <v>0</v>
      </c>
      <c r="H451" s="99">
        <f t="shared" si="186"/>
        <v>0</v>
      </c>
      <c r="I451" s="99">
        <f t="shared" si="186"/>
        <v>0</v>
      </c>
      <c r="J451" s="99">
        <f t="shared" si="186"/>
        <v>0</v>
      </c>
      <c r="K451" s="99">
        <f t="shared" si="186"/>
        <v>0</v>
      </c>
      <c r="L451" s="99">
        <f t="shared" si="186"/>
        <v>0</v>
      </c>
      <c r="M451" s="99">
        <f t="shared" si="186"/>
        <v>0</v>
      </c>
      <c r="N451" s="99">
        <f t="shared" si="186"/>
        <v>0</v>
      </c>
      <c r="O451" s="99">
        <f t="shared" si="186"/>
        <v>0</v>
      </c>
      <c r="P451" s="99">
        <f t="shared" si="186"/>
        <v>0</v>
      </c>
      <c r="Q451" s="99">
        <f t="shared" si="186"/>
        <v>0</v>
      </c>
      <c r="R451" s="99">
        <f t="shared" si="186"/>
        <v>0</v>
      </c>
      <c r="S451" s="99">
        <f t="shared" si="186"/>
        <v>0</v>
      </c>
      <c r="T451" s="99">
        <f t="shared" si="186"/>
        <v>0</v>
      </c>
      <c r="U451" s="99">
        <f t="shared" si="186"/>
        <v>0</v>
      </c>
      <c r="V451" s="99">
        <f t="shared" si="186"/>
        <v>0</v>
      </c>
      <c r="W451" s="99">
        <f t="shared" si="186"/>
        <v>0</v>
      </c>
      <c r="X451" s="99">
        <f t="shared" si="186"/>
        <v>0</v>
      </c>
      <c r="Y451" s="99">
        <f t="shared" si="186"/>
        <v>14970</v>
      </c>
    </row>
    <row r="452" spans="1:25" ht="21" customHeight="1">
      <c r="A452" s="435" t="s">
        <v>139</v>
      </c>
      <c r="B452" s="435"/>
      <c r="C452" s="434" t="s">
        <v>141</v>
      </c>
      <c r="D452" s="434"/>
      <c r="E452" s="437" t="s">
        <v>144</v>
      </c>
      <c r="F452" s="438"/>
      <c r="G452" s="434" t="s">
        <v>146</v>
      </c>
      <c r="H452" s="435"/>
      <c r="I452" s="437" t="s">
        <v>160</v>
      </c>
      <c r="J452" s="438"/>
      <c r="K452" s="359" t="s">
        <v>161</v>
      </c>
      <c r="L452" s="437" t="s">
        <v>162</v>
      </c>
      <c r="M452" s="439"/>
      <c r="N452" s="439"/>
      <c r="O452" s="438"/>
      <c r="P452" s="437" t="s">
        <v>163</v>
      </c>
      <c r="Q452" s="438"/>
      <c r="R452" s="437" t="s">
        <v>164</v>
      </c>
      <c r="S452" s="439"/>
      <c r="T452" s="438"/>
      <c r="U452" s="434" t="s">
        <v>165</v>
      </c>
      <c r="V452" s="435"/>
      <c r="W452" s="359" t="s">
        <v>212</v>
      </c>
      <c r="X452" s="359" t="s">
        <v>166</v>
      </c>
      <c r="Y452" s="436" t="s">
        <v>17</v>
      </c>
    </row>
    <row r="453" spans="1:25" ht="21" customHeight="1">
      <c r="A453" s="435" t="s">
        <v>140</v>
      </c>
      <c r="B453" s="435"/>
      <c r="C453" s="370" t="s">
        <v>142</v>
      </c>
      <c r="D453" s="359" t="s">
        <v>143</v>
      </c>
      <c r="E453" s="359" t="s">
        <v>145</v>
      </c>
      <c r="F453" s="359" t="s">
        <v>214</v>
      </c>
      <c r="G453" s="359" t="s">
        <v>147</v>
      </c>
      <c r="H453" s="359" t="s">
        <v>148</v>
      </c>
      <c r="I453" s="359" t="s">
        <v>149</v>
      </c>
      <c r="J453" s="359" t="s">
        <v>150</v>
      </c>
      <c r="K453" s="359" t="s">
        <v>151</v>
      </c>
      <c r="L453" s="359" t="s">
        <v>152</v>
      </c>
      <c r="M453" s="359" t="s">
        <v>153</v>
      </c>
      <c r="N453" s="359" t="s">
        <v>238</v>
      </c>
      <c r="O453" s="269" t="s">
        <v>331</v>
      </c>
      <c r="P453" s="360" t="s">
        <v>303</v>
      </c>
      <c r="Q453" s="360" t="s">
        <v>154</v>
      </c>
      <c r="R453" s="359" t="s">
        <v>155</v>
      </c>
      <c r="S453" s="359" t="s">
        <v>156</v>
      </c>
      <c r="T453" s="359" t="s">
        <v>216</v>
      </c>
      <c r="U453" s="359" t="s">
        <v>157</v>
      </c>
      <c r="V453" s="359" t="s">
        <v>158</v>
      </c>
      <c r="W453" s="359" t="s">
        <v>213</v>
      </c>
      <c r="X453" s="359" t="s">
        <v>159</v>
      </c>
      <c r="Y453" s="436"/>
    </row>
    <row r="454" spans="1:25" ht="21" customHeight="1">
      <c r="A454" s="432" t="s">
        <v>393</v>
      </c>
      <c r="B454" s="433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67"/>
      <c r="P454" s="167"/>
      <c r="Q454" s="167"/>
      <c r="R454" s="100"/>
      <c r="S454" s="100"/>
      <c r="T454" s="100"/>
      <c r="U454" s="100"/>
      <c r="V454" s="100"/>
      <c r="W454" s="100"/>
      <c r="X454" s="100"/>
      <c r="Y454" s="101">
        <f>SUM(C454:X454)</f>
        <v>0</v>
      </c>
    </row>
    <row r="455" spans="1:25" ht="21" customHeight="1">
      <c r="A455" s="93">
        <v>420700</v>
      </c>
      <c r="B455" s="94" t="s">
        <v>394</v>
      </c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164"/>
      <c r="P455" s="164"/>
      <c r="Q455" s="164"/>
      <c r="R455" s="70"/>
      <c r="S455" s="70"/>
      <c r="T455" s="70"/>
      <c r="U455" s="70"/>
      <c r="V455" s="70"/>
      <c r="W455" s="70"/>
      <c r="X455" s="70"/>
      <c r="Y455" s="95">
        <f>SUM(C455:X455)</f>
        <v>0</v>
      </c>
    </row>
    <row r="456" spans="1:25" ht="21" customHeight="1">
      <c r="A456" s="96">
        <v>421000</v>
      </c>
      <c r="B456" s="97" t="s">
        <v>395</v>
      </c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165"/>
      <c r="P456" s="165"/>
      <c r="Q456" s="165"/>
      <c r="R456" s="76"/>
      <c r="S456" s="76"/>
      <c r="T456" s="76"/>
      <c r="U456" s="76"/>
      <c r="V456" s="76"/>
      <c r="W456" s="76"/>
      <c r="X456" s="76"/>
      <c r="Y456" s="95">
        <f t="shared" ref="Y456:Y457" si="187">SUM(C456:X456)</f>
        <v>0</v>
      </c>
    </row>
    <row r="457" spans="1:25" ht="21" customHeight="1">
      <c r="A457" s="96">
        <v>421100</v>
      </c>
      <c r="B457" s="97" t="s">
        <v>211</v>
      </c>
      <c r="C457" s="76"/>
      <c r="D457" s="76"/>
      <c r="E457" s="76"/>
      <c r="F457" s="76">
        <v>15000</v>
      </c>
      <c r="G457" s="76"/>
      <c r="H457" s="76"/>
      <c r="I457" s="76"/>
      <c r="J457" s="76"/>
      <c r="K457" s="76"/>
      <c r="L457" s="76"/>
      <c r="M457" s="76"/>
      <c r="N457" s="76"/>
      <c r="O457" s="165"/>
      <c r="P457" s="165"/>
      <c r="Q457" s="165"/>
      <c r="R457" s="76"/>
      <c r="S457" s="76"/>
      <c r="T457" s="76"/>
      <c r="U457" s="76"/>
      <c r="V457" s="76"/>
      <c r="W457" s="76"/>
      <c r="X457" s="76"/>
      <c r="Y457" s="95">
        <f t="shared" si="187"/>
        <v>15000</v>
      </c>
    </row>
    <row r="458" spans="1:25" ht="21" customHeight="1">
      <c r="A458" s="426" t="s">
        <v>174</v>
      </c>
      <c r="B458" s="427"/>
      <c r="C458" s="95">
        <f>SUM(C455:C457)</f>
        <v>0</v>
      </c>
      <c r="D458" s="95">
        <f t="shared" ref="D458:W458" si="188">SUM(D455:D457)</f>
        <v>0</v>
      </c>
      <c r="E458" s="95">
        <f t="shared" si="188"/>
        <v>0</v>
      </c>
      <c r="F458" s="95">
        <f t="shared" si="188"/>
        <v>15000</v>
      </c>
      <c r="G458" s="95">
        <f t="shared" si="188"/>
        <v>0</v>
      </c>
      <c r="H458" s="95">
        <f t="shared" si="188"/>
        <v>0</v>
      </c>
      <c r="I458" s="95">
        <f t="shared" si="188"/>
        <v>0</v>
      </c>
      <c r="J458" s="95">
        <f t="shared" si="188"/>
        <v>0</v>
      </c>
      <c r="K458" s="95">
        <f t="shared" si="188"/>
        <v>0</v>
      </c>
      <c r="L458" s="95">
        <f t="shared" si="188"/>
        <v>0</v>
      </c>
      <c r="M458" s="95">
        <f t="shared" si="188"/>
        <v>0</v>
      </c>
      <c r="N458" s="95">
        <f t="shared" si="188"/>
        <v>0</v>
      </c>
      <c r="O458" s="95">
        <f t="shared" si="188"/>
        <v>0</v>
      </c>
      <c r="P458" s="95">
        <f t="shared" si="188"/>
        <v>0</v>
      </c>
      <c r="Q458" s="95">
        <f t="shared" si="188"/>
        <v>0</v>
      </c>
      <c r="R458" s="95">
        <f t="shared" si="188"/>
        <v>0</v>
      </c>
      <c r="S458" s="95">
        <f t="shared" si="188"/>
        <v>0</v>
      </c>
      <c r="T458" s="95">
        <f t="shared" si="188"/>
        <v>0</v>
      </c>
      <c r="U458" s="95">
        <f t="shared" si="188"/>
        <v>0</v>
      </c>
      <c r="V458" s="95">
        <f t="shared" si="188"/>
        <v>0</v>
      </c>
      <c r="W458" s="95">
        <f t="shared" si="188"/>
        <v>0</v>
      </c>
      <c r="X458" s="95">
        <f>SUM(X455:X457)</f>
        <v>0</v>
      </c>
      <c r="Y458" s="95">
        <f>SUM(C458:X458)</f>
        <v>15000</v>
      </c>
    </row>
    <row r="459" spans="1:25" ht="21" customHeight="1">
      <c r="A459" s="428" t="s">
        <v>175</v>
      </c>
      <c r="B459" s="429"/>
      <c r="C459" s="99">
        <f>+C458+C341</f>
        <v>0</v>
      </c>
      <c r="D459" s="99">
        <f t="shared" ref="D459:Y459" si="189">+D458+D341</f>
        <v>0</v>
      </c>
      <c r="E459" s="99">
        <f t="shared" si="189"/>
        <v>0</v>
      </c>
      <c r="F459" s="99">
        <f t="shared" si="189"/>
        <v>15000</v>
      </c>
      <c r="G459" s="99">
        <f t="shared" si="189"/>
        <v>0</v>
      </c>
      <c r="H459" s="99">
        <f t="shared" si="189"/>
        <v>0</v>
      </c>
      <c r="I459" s="99">
        <f t="shared" si="189"/>
        <v>0</v>
      </c>
      <c r="J459" s="99">
        <f t="shared" si="189"/>
        <v>0</v>
      </c>
      <c r="K459" s="99">
        <f t="shared" si="189"/>
        <v>0</v>
      </c>
      <c r="L459" s="99">
        <f t="shared" si="189"/>
        <v>0</v>
      </c>
      <c r="M459" s="99">
        <f t="shared" si="189"/>
        <v>0</v>
      </c>
      <c r="N459" s="99">
        <f t="shared" si="189"/>
        <v>0</v>
      </c>
      <c r="O459" s="99">
        <f t="shared" si="189"/>
        <v>0</v>
      </c>
      <c r="P459" s="99">
        <f t="shared" si="189"/>
        <v>0</v>
      </c>
      <c r="Q459" s="99">
        <f t="shared" si="189"/>
        <v>0</v>
      </c>
      <c r="R459" s="99">
        <f t="shared" si="189"/>
        <v>0</v>
      </c>
      <c r="S459" s="99">
        <f t="shared" si="189"/>
        <v>0</v>
      </c>
      <c r="T459" s="99">
        <f t="shared" si="189"/>
        <v>0</v>
      </c>
      <c r="U459" s="99">
        <f t="shared" si="189"/>
        <v>0</v>
      </c>
      <c r="V459" s="99">
        <f t="shared" si="189"/>
        <v>0</v>
      </c>
      <c r="W459" s="99">
        <f t="shared" si="189"/>
        <v>0</v>
      </c>
      <c r="X459" s="99">
        <f t="shared" si="189"/>
        <v>0</v>
      </c>
      <c r="Y459" s="99">
        <f t="shared" si="189"/>
        <v>15000</v>
      </c>
    </row>
    <row r="460" spans="1:25" ht="21" customHeight="1">
      <c r="A460" s="432" t="s">
        <v>397</v>
      </c>
      <c r="B460" s="433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67"/>
      <c r="P460" s="167"/>
      <c r="Q460" s="167"/>
      <c r="R460" s="100"/>
      <c r="S460" s="100"/>
      <c r="T460" s="100"/>
      <c r="U460" s="100"/>
      <c r="V460" s="100"/>
      <c r="W460" s="100"/>
      <c r="X460" s="100"/>
      <c r="Y460" s="101">
        <f t="shared" ref="Y460:Y462" si="190">SUM(C460:X460)</f>
        <v>0</v>
      </c>
    </row>
    <row r="461" spans="1:25" ht="21" customHeight="1">
      <c r="A461" s="93">
        <v>510100</v>
      </c>
      <c r="B461" s="102" t="s">
        <v>12</v>
      </c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164"/>
      <c r="P461" s="164"/>
      <c r="Q461" s="164"/>
      <c r="R461" s="70"/>
      <c r="S461" s="70"/>
      <c r="T461" s="70"/>
      <c r="U461" s="70"/>
      <c r="V461" s="70"/>
      <c r="W461" s="70"/>
      <c r="X461" s="70"/>
      <c r="Y461" s="95">
        <f t="shared" si="190"/>
        <v>0</v>
      </c>
    </row>
    <row r="462" spans="1:25" ht="21" customHeight="1">
      <c r="A462" s="426" t="s">
        <v>174</v>
      </c>
      <c r="B462" s="427"/>
      <c r="C462" s="95">
        <f t="shared" ref="C462:X462" si="191">SUM(C461:C461)</f>
        <v>0</v>
      </c>
      <c r="D462" s="95">
        <f t="shared" si="191"/>
        <v>0</v>
      </c>
      <c r="E462" s="95">
        <f t="shared" si="191"/>
        <v>0</v>
      </c>
      <c r="F462" s="95">
        <f t="shared" si="191"/>
        <v>0</v>
      </c>
      <c r="G462" s="95">
        <f t="shared" si="191"/>
        <v>0</v>
      </c>
      <c r="H462" s="95">
        <f t="shared" si="191"/>
        <v>0</v>
      </c>
      <c r="I462" s="95">
        <f t="shared" si="191"/>
        <v>0</v>
      </c>
      <c r="J462" s="95">
        <f t="shared" si="191"/>
        <v>0</v>
      </c>
      <c r="K462" s="95">
        <f t="shared" si="191"/>
        <v>0</v>
      </c>
      <c r="L462" s="95">
        <f t="shared" si="191"/>
        <v>0</v>
      </c>
      <c r="M462" s="95">
        <f t="shared" si="191"/>
        <v>0</v>
      </c>
      <c r="N462" s="95">
        <f t="shared" si="191"/>
        <v>0</v>
      </c>
      <c r="O462" s="95">
        <f t="shared" si="191"/>
        <v>0</v>
      </c>
      <c r="P462" s="95">
        <f t="shared" si="191"/>
        <v>0</v>
      </c>
      <c r="Q462" s="95">
        <f t="shared" si="191"/>
        <v>0</v>
      </c>
      <c r="R462" s="95">
        <f t="shared" si="191"/>
        <v>0</v>
      </c>
      <c r="S462" s="95">
        <f t="shared" si="191"/>
        <v>0</v>
      </c>
      <c r="T462" s="95">
        <f t="shared" si="191"/>
        <v>0</v>
      </c>
      <c r="U462" s="95">
        <f t="shared" si="191"/>
        <v>0</v>
      </c>
      <c r="V462" s="95">
        <f t="shared" si="191"/>
        <v>0</v>
      </c>
      <c r="W462" s="95">
        <f t="shared" si="191"/>
        <v>0</v>
      </c>
      <c r="X462" s="95">
        <f t="shared" si="191"/>
        <v>0</v>
      </c>
      <c r="Y462" s="95">
        <f t="shared" si="190"/>
        <v>0</v>
      </c>
    </row>
    <row r="463" spans="1:25" ht="21" customHeight="1">
      <c r="A463" s="428" t="s">
        <v>175</v>
      </c>
      <c r="B463" s="429"/>
      <c r="C463" s="99">
        <f>+C462+C345</f>
        <v>0</v>
      </c>
      <c r="D463" s="99">
        <f t="shared" ref="D463:X463" si="192">+D462+D345</f>
        <v>0</v>
      </c>
      <c r="E463" s="99">
        <f t="shared" si="192"/>
        <v>0</v>
      </c>
      <c r="F463" s="99">
        <f t="shared" si="192"/>
        <v>0</v>
      </c>
      <c r="G463" s="99">
        <f t="shared" si="192"/>
        <v>0</v>
      </c>
      <c r="H463" s="99">
        <f t="shared" si="192"/>
        <v>0</v>
      </c>
      <c r="I463" s="99">
        <f t="shared" si="192"/>
        <v>0</v>
      </c>
      <c r="J463" s="99">
        <f t="shared" si="192"/>
        <v>0</v>
      </c>
      <c r="K463" s="99">
        <f t="shared" si="192"/>
        <v>0</v>
      </c>
      <c r="L463" s="99">
        <f t="shared" si="192"/>
        <v>0</v>
      </c>
      <c r="M463" s="99">
        <f t="shared" si="192"/>
        <v>0</v>
      </c>
      <c r="N463" s="99">
        <f t="shared" si="192"/>
        <v>0</v>
      </c>
      <c r="O463" s="99">
        <f t="shared" si="192"/>
        <v>0</v>
      </c>
      <c r="P463" s="99">
        <f t="shared" si="192"/>
        <v>0</v>
      </c>
      <c r="Q463" s="99">
        <f t="shared" si="192"/>
        <v>0</v>
      </c>
      <c r="R463" s="99">
        <f t="shared" si="192"/>
        <v>0</v>
      </c>
      <c r="S463" s="99">
        <f t="shared" si="192"/>
        <v>0</v>
      </c>
      <c r="T463" s="99">
        <f t="shared" si="192"/>
        <v>0</v>
      </c>
      <c r="U463" s="99">
        <f t="shared" si="192"/>
        <v>0</v>
      </c>
      <c r="V463" s="99">
        <f t="shared" si="192"/>
        <v>0</v>
      </c>
      <c r="W463" s="99">
        <f t="shared" si="192"/>
        <v>0</v>
      </c>
      <c r="X463" s="99">
        <f t="shared" si="192"/>
        <v>0</v>
      </c>
      <c r="Y463" s="99">
        <f>+Y462+Y345</f>
        <v>0</v>
      </c>
    </row>
    <row r="464" spans="1:25" ht="21" customHeight="1">
      <c r="A464" s="432" t="s">
        <v>396</v>
      </c>
      <c r="B464" s="433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67"/>
      <c r="P464" s="167"/>
      <c r="Q464" s="167"/>
      <c r="R464" s="100"/>
      <c r="S464" s="100"/>
      <c r="T464" s="100"/>
      <c r="U464" s="100"/>
      <c r="V464" s="100"/>
      <c r="W464" s="100"/>
      <c r="X464" s="100"/>
      <c r="Y464" s="101">
        <f>SUM(C464:X464)</f>
        <v>0</v>
      </c>
    </row>
    <row r="465" spans="1:26" ht="21" customHeight="1">
      <c r="A465" s="93">
        <v>610100</v>
      </c>
      <c r="B465" s="94" t="s">
        <v>398</v>
      </c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164"/>
      <c r="P465" s="164"/>
      <c r="Q465" s="164"/>
      <c r="R465" s="70"/>
      <c r="S465" s="70"/>
      <c r="T465" s="70"/>
      <c r="U465" s="70"/>
      <c r="V465" s="70"/>
      <c r="W465" s="70"/>
      <c r="X465" s="70"/>
      <c r="Y465" s="95">
        <f>SUM(C465:X465)</f>
        <v>0</v>
      </c>
    </row>
    <row r="466" spans="1:26" ht="21" customHeight="1">
      <c r="A466" s="96">
        <v>610200</v>
      </c>
      <c r="B466" s="97" t="s">
        <v>399</v>
      </c>
      <c r="C466" s="76"/>
      <c r="D466" s="76"/>
      <c r="E466" s="76"/>
      <c r="F466" s="76"/>
      <c r="G466" s="76"/>
      <c r="H466" s="76">
        <f>636000+305000+2000+12000</f>
        <v>955000</v>
      </c>
      <c r="I466" s="76"/>
      <c r="J466" s="76"/>
      <c r="K466" s="76"/>
      <c r="L466" s="76"/>
      <c r="M466" s="76"/>
      <c r="N466" s="76"/>
      <c r="O466" s="165"/>
      <c r="P466" s="165"/>
      <c r="Q466" s="165"/>
      <c r="R466" s="76"/>
      <c r="S466" s="76"/>
      <c r="T466" s="76"/>
      <c r="U466" s="76"/>
      <c r="V466" s="76"/>
      <c r="W466" s="76"/>
      <c r="X466" s="76"/>
      <c r="Y466" s="95">
        <f t="shared" ref="Y466" si="193">SUM(C466:X466)</f>
        <v>955000</v>
      </c>
    </row>
    <row r="467" spans="1:26" ht="21" customHeight="1">
      <c r="A467" s="96">
        <v>610300</v>
      </c>
      <c r="B467" s="97" t="s">
        <v>400</v>
      </c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165"/>
      <c r="P467" s="165"/>
      <c r="Q467" s="165"/>
      <c r="R467" s="76"/>
      <c r="S467" s="76"/>
      <c r="T467" s="76"/>
      <c r="U467" s="76"/>
      <c r="V467" s="76"/>
      <c r="W467" s="76"/>
      <c r="X467" s="76"/>
      <c r="Y467" s="95">
        <f>SUM(C467:X467)</f>
        <v>0</v>
      </c>
    </row>
    <row r="468" spans="1:26" ht="21" customHeight="1">
      <c r="A468" s="96">
        <v>610400</v>
      </c>
      <c r="B468" s="97" t="s">
        <v>401</v>
      </c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165"/>
      <c r="P468" s="165"/>
      <c r="Q468" s="165"/>
      <c r="R468" s="76"/>
      <c r="S468" s="76"/>
      <c r="T468" s="76"/>
      <c r="U468" s="76"/>
      <c r="V468" s="76"/>
      <c r="W468" s="76"/>
      <c r="X468" s="76"/>
      <c r="Y468" s="95">
        <f t="shared" ref="Y468" si="194">SUM(C468:X468)</f>
        <v>0</v>
      </c>
    </row>
    <row r="469" spans="1:26" ht="21" customHeight="1">
      <c r="A469" s="426" t="s">
        <v>174</v>
      </c>
      <c r="B469" s="427"/>
      <c r="C469" s="95">
        <f t="shared" ref="C469:K469" si="195">SUM(C465:C468)</f>
        <v>0</v>
      </c>
      <c r="D469" s="95">
        <f t="shared" si="195"/>
        <v>0</v>
      </c>
      <c r="E469" s="95">
        <f t="shared" si="195"/>
        <v>0</v>
      </c>
      <c r="F469" s="95">
        <f t="shared" si="195"/>
        <v>0</v>
      </c>
      <c r="G469" s="95">
        <f t="shared" si="195"/>
        <v>0</v>
      </c>
      <c r="H469" s="95">
        <f t="shared" si="195"/>
        <v>955000</v>
      </c>
      <c r="I469" s="95">
        <f t="shared" si="195"/>
        <v>0</v>
      </c>
      <c r="J469" s="95">
        <f t="shared" si="195"/>
        <v>0</v>
      </c>
      <c r="K469" s="95">
        <f t="shared" si="195"/>
        <v>0</v>
      </c>
      <c r="L469" s="95">
        <f>SUM(L465:L468)</f>
        <v>0</v>
      </c>
      <c r="M469" s="95">
        <f t="shared" ref="M469:W469" si="196">SUM(M465:M468)</f>
        <v>0</v>
      </c>
      <c r="N469" s="95">
        <f t="shared" si="196"/>
        <v>0</v>
      </c>
      <c r="O469" s="95">
        <f t="shared" si="196"/>
        <v>0</v>
      </c>
      <c r="P469" s="95">
        <f t="shared" si="196"/>
        <v>0</v>
      </c>
      <c r="Q469" s="95">
        <f t="shared" si="196"/>
        <v>0</v>
      </c>
      <c r="R469" s="95">
        <f t="shared" si="196"/>
        <v>0</v>
      </c>
      <c r="S469" s="95">
        <f t="shared" si="196"/>
        <v>0</v>
      </c>
      <c r="T469" s="95">
        <f t="shared" si="196"/>
        <v>0</v>
      </c>
      <c r="U469" s="95">
        <f t="shared" si="196"/>
        <v>0</v>
      </c>
      <c r="V469" s="95">
        <f t="shared" si="196"/>
        <v>0</v>
      </c>
      <c r="W469" s="95">
        <f t="shared" si="196"/>
        <v>0</v>
      </c>
      <c r="X469" s="95">
        <f>SUM(X465:X468)</f>
        <v>0</v>
      </c>
      <c r="Y469" s="95">
        <f t="shared" ref="Y469" si="197">SUM(Y465:Y468)</f>
        <v>955000</v>
      </c>
    </row>
    <row r="470" spans="1:26" ht="21" customHeight="1">
      <c r="A470" s="428" t="s">
        <v>175</v>
      </c>
      <c r="B470" s="429"/>
      <c r="C470" s="99">
        <f>+C469+C352</f>
        <v>20000</v>
      </c>
      <c r="D470" s="99">
        <f t="shared" ref="D470:Y470" si="198">+D469+D352</f>
        <v>0</v>
      </c>
      <c r="E470" s="99">
        <f t="shared" si="198"/>
        <v>0</v>
      </c>
      <c r="F470" s="99">
        <f t="shared" si="198"/>
        <v>0</v>
      </c>
      <c r="G470" s="99">
        <f t="shared" si="198"/>
        <v>0</v>
      </c>
      <c r="H470" s="99">
        <f t="shared" si="198"/>
        <v>1910000</v>
      </c>
      <c r="I470" s="99">
        <f t="shared" si="198"/>
        <v>0</v>
      </c>
      <c r="J470" s="99">
        <f t="shared" si="198"/>
        <v>0</v>
      </c>
      <c r="K470" s="99">
        <f t="shared" si="198"/>
        <v>0</v>
      </c>
      <c r="L470" s="99">
        <f t="shared" si="198"/>
        <v>0</v>
      </c>
      <c r="M470" s="99">
        <f t="shared" si="198"/>
        <v>0</v>
      </c>
      <c r="N470" s="99">
        <f t="shared" si="198"/>
        <v>0</v>
      </c>
      <c r="O470" s="99">
        <f t="shared" si="198"/>
        <v>0</v>
      </c>
      <c r="P470" s="99">
        <f t="shared" si="198"/>
        <v>0</v>
      </c>
      <c r="Q470" s="99">
        <f t="shared" si="198"/>
        <v>0</v>
      </c>
      <c r="R470" s="99">
        <f t="shared" si="198"/>
        <v>0</v>
      </c>
      <c r="S470" s="99">
        <f t="shared" si="198"/>
        <v>7000</v>
      </c>
      <c r="T470" s="99">
        <f t="shared" si="198"/>
        <v>0</v>
      </c>
      <c r="U470" s="99">
        <f t="shared" si="198"/>
        <v>0</v>
      </c>
      <c r="V470" s="99">
        <f t="shared" si="198"/>
        <v>0</v>
      </c>
      <c r="W470" s="99">
        <f t="shared" si="198"/>
        <v>0</v>
      </c>
      <c r="X470" s="99">
        <f t="shared" si="198"/>
        <v>0</v>
      </c>
      <c r="Y470" s="99">
        <f t="shared" si="198"/>
        <v>1937000</v>
      </c>
    </row>
    <row r="471" spans="1:26" ht="21" customHeight="1">
      <c r="A471" s="430" t="s">
        <v>174</v>
      </c>
      <c r="B471" s="431"/>
      <c r="C471" s="44">
        <f t="shared" ref="C471:X471" si="199">SUM(C371,C379,C391,C400,C407,C426,C433,C450,C458,C462,C469)</f>
        <v>669959.67000000004</v>
      </c>
      <c r="D471" s="44">
        <f t="shared" si="199"/>
        <v>214763.6</v>
      </c>
      <c r="E471" s="44">
        <f t="shared" si="199"/>
        <v>46020</v>
      </c>
      <c r="F471" s="44">
        <f t="shared" si="199"/>
        <v>16200</v>
      </c>
      <c r="G471" s="44">
        <f t="shared" si="199"/>
        <v>81370</v>
      </c>
      <c r="H471" s="44">
        <f t="shared" si="199"/>
        <v>955000</v>
      </c>
      <c r="I471" s="44">
        <f t="shared" si="199"/>
        <v>29210</v>
      </c>
      <c r="J471" s="44">
        <f t="shared" si="199"/>
        <v>13436</v>
      </c>
      <c r="K471" s="44">
        <f t="shared" si="199"/>
        <v>0</v>
      </c>
      <c r="L471" s="44">
        <f t="shared" si="199"/>
        <v>126070.5</v>
      </c>
      <c r="M471" s="44">
        <f t="shared" si="199"/>
        <v>16806.900000000001</v>
      </c>
      <c r="N471" s="44">
        <f t="shared" si="199"/>
        <v>67705.95</v>
      </c>
      <c r="O471" s="44">
        <f t="shared" si="199"/>
        <v>0</v>
      </c>
      <c r="P471" s="44">
        <f t="shared" si="199"/>
        <v>59405</v>
      </c>
      <c r="Q471" s="44">
        <f t="shared" si="199"/>
        <v>4030</v>
      </c>
      <c r="R471" s="44">
        <f t="shared" si="199"/>
        <v>0</v>
      </c>
      <c r="S471" s="44">
        <f t="shared" si="199"/>
        <v>14880</v>
      </c>
      <c r="T471" s="44">
        <f t="shared" si="199"/>
        <v>0</v>
      </c>
      <c r="U471" s="44">
        <f t="shared" si="199"/>
        <v>0</v>
      </c>
      <c r="V471" s="44">
        <f t="shared" si="199"/>
        <v>0</v>
      </c>
      <c r="W471" s="44">
        <f t="shared" si="199"/>
        <v>8000</v>
      </c>
      <c r="X471" s="44">
        <f t="shared" si="199"/>
        <v>221632.68</v>
      </c>
      <c r="Y471" s="44">
        <f>SUM(C471:X471)</f>
        <v>2544490.3000000003</v>
      </c>
    </row>
    <row r="472" spans="1:26" ht="21" customHeight="1">
      <c r="A472" s="430" t="s">
        <v>175</v>
      </c>
      <c r="B472" s="431"/>
      <c r="C472" s="44">
        <f t="shared" ref="C472:X472" si="200">SUM(C372,C380,C392,C401,C408,C427,C434,C451,C459,C463,C470)</f>
        <v>2704835.1</v>
      </c>
      <c r="D472" s="44">
        <f t="shared" si="200"/>
        <v>671737.11</v>
      </c>
      <c r="E472" s="44">
        <f t="shared" si="200"/>
        <v>151560</v>
      </c>
      <c r="F472" s="44">
        <f t="shared" si="200"/>
        <v>25200</v>
      </c>
      <c r="G472" s="44">
        <f t="shared" si="200"/>
        <v>326444</v>
      </c>
      <c r="H472" s="44">
        <f t="shared" si="200"/>
        <v>2120000</v>
      </c>
      <c r="I472" s="44">
        <f t="shared" si="200"/>
        <v>127040</v>
      </c>
      <c r="J472" s="44">
        <f t="shared" si="200"/>
        <v>39510</v>
      </c>
      <c r="K472" s="44">
        <f t="shared" si="200"/>
        <v>0</v>
      </c>
      <c r="L472" s="44">
        <f t="shared" si="200"/>
        <v>471277.1</v>
      </c>
      <c r="M472" s="44">
        <f t="shared" si="200"/>
        <v>55466.1</v>
      </c>
      <c r="N472" s="44">
        <f t="shared" si="200"/>
        <v>278559.15999999997</v>
      </c>
      <c r="O472" s="44">
        <f t="shared" si="200"/>
        <v>0</v>
      </c>
      <c r="P472" s="44">
        <f t="shared" si="200"/>
        <v>218406</v>
      </c>
      <c r="Q472" s="44">
        <f t="shared" si="200"/>
        <v>60120</v>
      </c>
      <c r="R472" s="44">
        <f t="shared" si="200"/>
        <v>15180</v>
      </c>
      <c r="S472" s="44">
        <f t="shared" si="200"/>
        <v>32280</v>
      </c>
      <c r="T472" s="44">
        <f t="shared" si="200"/>
        <v>0</v>
      </c>
      <c r="U472" s="44">
        <f t="shared" si="200"/>
        <v>0</v>
      </c>
      <c r="V472" s="44">
        <f t="shared" si="200"/>
        <v>0</v>
      </c>
      <c r="W472" s="44">
        <f t="shared" si="200"/>
        <v>176329.05</v>
      </c>
      <c r="X472" s="44">
        <f t="shared" si="200"/>
        <v>651730.67999999993</v>
      </c>
      <c r="Y472" s="44">
        <f>SUM(C472:X472)</f>
        <v>8125674.2999999989</v>
      </c>
      <c r="Z472" s="91">
        <f>+Y354</f>
        <v>5581184</v>
      </c>
    </row>
    <row r="473" spans="1:26" ht="21" customHeight="1">
      <c r="A473" s="440" t="s">
        <v>253</v>
      </c>
      <c r="B473" s="440"/>
      <c r="C473" s="440"/>
      <c r="D473" s="440"/>
      <c r="E473" s="440"/>
      <c r="F473" s="440"/>
      <c r="G473" s="440"/>
      <c r="H473" s="440"/>
      <c r="I473" s="440"/>
      <c r="J473" s="440"/>
      <c r="K473" s="440"/>
      <c r="L473" s="440"/>
      <c r="M473" s="440"/>
      <c r="N473" s="440"/>
      <c r="O473" s="372"/>
      <c r="P473" s="441" t="str">
        <f>+A473</f>
        <v>เทศบาลตำบลเขาพระ อำเภอพิปูน จังหวัดนครศรีธรรมราช</v>
      </c>
      <c r="Q473" s="441"/>
      <c r="R473" s="441"/>
      <c r="S473" s="441"/>
      <c r="T473" s="441"/>
      <c r="U473" s="441"/>
      <c r="V473" s="441"/>
      <c r="W473" s="441"/>
      <c r="X473" s="441"/>
      <c r="Y473" s="441"/>
    </row>
    <row r="474" spans="1:26" ht="21" customHeight="1">
      <c r="A474" s="440" t="s">
        <v>384</v>
      </c>
      <c r="B474" s="440"/>
      <c r="C474" s="440"/>
      <c r="D474" s="440"/>
      <c r="E474" s="440"/>
      <c r="F474" s="440"/>
      <c r="G474" s="440"/>
      <c r="H474" s="440"/>
      <c r="I474" s="440"/>
      <c r="J474" s="440"/>
      <c r="K474" s="440"/>
      <c r="L474" s="440"/>
      <c r="M474" s="440"/>
      <c r="N474" s="440"/>
      <c r="O474" s="372"/>
      <c r="P474" s="442" t="s">
        <v>384</v>
      </c>
      <c r="Q474" s="442"/>
      <c r="R474" s="442"/>
      <c r="S474" s="442"/>
      <c r="T474" s="442"/>
      <c r="U474" s="442"/>
      <c r="V474" s="442"/>
      <c r="W474" s="442"/>
      <c r="X474" s="442"/>
      <c r="Y474" s="442"/>
    </row>
    <row r="475" spans="1:26" ht="21" customHeight="1">
      <c r="A475" s="443" t="s">
        <v>467</v>
      </c>
      <c r="B475" s="443"/>
      <c r="C475" s="443"/>
      <c r="D475" s="443"/>
      <c r="E475" s="443"/>
      <c r="F475" s="443"/>
      <c r="G475" s="443"/>
      <c r="H475" s="443"/>
      <c r="I475" s="443"/>
      <c r="J475" s="443"/>
      <c r="K475" s="443"/>
      <c r="L475" s="443"/>
      <c r="M475" s="443"/>
      <c r="N475" s="443"/>
      <c r="O475" s="373"/>
      <c r="P475" s="444" t="s">
        <v>467</v>
      </c>
      <c r="Q475" s="444"/>
      <c r="R475" s="444"/>
      <c r="S475" s="444"/>
      <c r="T475" s="444"/>
      <c r="U475" s="444"/>
      <c r="V475" s="444"/>
      <c r="W475" s="444"/>
      <c r="X475" s="444"/>
      <c r="Y475" s="444"/>
    </row>
    <row r="476" spans="1:26" ht="21" customHeight="1">
      <c r="A476" s="435" t="s">
        <v>139</v>
      </c>
      <c r="B476" s="435"/>
      <c r="C476" s="434" t="s">
        <v>141</v>
      </c>
      <c r="D476" s="434"/>
      <c r="E476" s="437" t="s">
        <v>144</v>
      </c>
      <c r="F476" s="438"/>
      <c r="G476" s="434" t="s">
        <v>146</v>
      </c>
      <c r="H476" s="435"/>
      <c r="I476" s="437" t="s">
        <v>160</v>
      </c>
      <c r="J476" s="438"/>
      <c r="K476" s="370" t="s">
        <v>161</v>
      </c>
      <c r="L476" s="437" t="s">
        <v>162</v>
      </c>
      <c r="M476" s="439"/>
      <c r="N476" s="439"/>
      <c r="O476" s="438"/>
      <c r="P476" s="437" t="s">
        <v>163</v>
      </c>
      <c r="Q476" s="438"/>
      <c r="R476" s="437" t="s">
        <v>164</v>
      </c>
      <c r="S476" s="439"/>
      <c r="T476" s="438"/>
      <c r="U476" s="434" t="s">
        <v>165</v>
      </c>
      <c r="V476" s="435"/>
      <c r="W476" s="370" t="s">
        <v>212</v>
      </c>
      <c r="X476" s="370" t="s">
        <v>166</v>
      </c>
      <c r="Y476" s="436" t="s">
        <v>17</v>
      </c>
    </row>
    <row r="477" spans="1:26" ht="21" customHeight="1">
      <c r="A477" s="435" t="s">
        <v>140</v>
      </c>
      <c r="B477" s="435"/>
      <c r="C477" s="370" t="s">
        <v>142</v>
      </c>
      <c r="D477" s="370" t="s">
        <v>143</v>
      </c>
      <c r="E477" s="370" t="s">
        <v>145</v>
      </c>
      <c r="F477" s="370" t="s">
        <v>214</v>
      </c>
      <c r="G477" s="370" t="s">
        <v>147</v>
      </c>
      <c r="H477" s="370" t="s">
        <v>148</v>
      </c>
      <c r="I477" s="370" t="s">
        <v>149</v>
      </c>
      <c r="J477" s="370" t="s">
        <v>150</v>
      </c>
      <c r="K477" s="370" t="s">
        <v>151</v>
      </c>
      <c r="L477" s="370" t="s">
        <v>152</v>
      </c>
      <c r="M477" s="370" t="s">
        <v>153</v>
      </c>
      <c r="N477" s="370" t="s">
        <v>238</v>
      </c>
      <c r="O477" s="370" t="s">
        <v>331</v>
      </c>
      <c r="P477" s="371" t="s">
        <v>303</v>
      </c>
      <c r="Q477" s="371" t="s">
        <v>154</v>
      </c>
      <c r="R477" s="370" t="s">
        <v>155</v>
      </c>
      <c r="S477" s="370" t="s">
        <v>156</v>
      </c>
      <c r="T477" s="370" t="s">
        <v>216</v>
      </c>
      <c r="U477" s="370" t="s">
        <v>157</v>
      </c>
      <c r="V477" s="370" t="s">
        <v>158</v>
      </c>
      <c r="W477" s="370" t="s">
        <v>213</v>
      </c>
      <c r="X477" s="370" t="s">
        <v>159</v>
      </c>
      <c r="Y477" s="436"/>
    </row>
    <row r="478" spans="1:26" ht="21" customHeight="1">
      <c r="A478" s="432" t="s">
        <v>385</v>
      </c>
      <c r="B478" s="433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163"/>
      <c r="P478" s="163"/>
      <c r="Q478" s="163"/>
      <c r="R478" s="92"/>
      <c r="S478" s="92"/>
      <c r="T478" s="92"/>
      <c r="U478" s="92"/>
      <c r="V478" s="92"/>
      <c r="W478" s="92"/>
      <c r="X478" s="92"/>
      <c r="Y478" s="92"/>
    </row>
    <row r="479" spans="1:26" ht="21" customHeight="1">
      <c r="A479" s="314">
        <v>110100</v>
      </c>
      <c r="B479" s="311" t="s">
        <v>342</v>
      </c>
      <c r="C479" s="312"/>
      <c r="D479" s="312"/>
      <c r="E479" s="312"/>
      <c r="F479" s="312"/>
      <c r="G479" s="312"/>
      <c r="H479" s="312"/>
      <c r="I479" s="312"/>
      <c r="J479" s="312"/>
      <c r="K479" s="312"/>
      <c r="L479" s="312"/>
      <c r="M479" s="312"/>
      <c r="N479" s="312"/>
      <c r="O479" s="313"/>
      <c r="P479" s="313"/>
      <c r="Q479" s="313"/>
      <c r="R479" s="312"/>
      <c r="S479" s="312"/>
      <c r="T479" s="312"/>
      <c r="U479" s="312"/>
      <c r="V479" s="312"/>
      <c r="W479" s="312"/>
      <c r="X479" s="312"/>
      <c r="Y479" s="95">
        <f>SUM(C479:X479)</f>
        <v>0</v>
      </c>
    </row>
    <row r="480" spans="1:26" ht="21" customHeight="1">
      <c r="A480" s="314">
        <v>110200</v>
      </c>
      <c r="B480" s="311" t="s">
        <v>329</v>
      </c>
      <c r="C480" s="312"/>
      <c r="D480" s="312"/>
      <c r="E480" s="312"/>
      <c r="F480" s="312"/>
      <c r="G480" s="312"/>
      <c r="H480" s="312"/>
      <c r="I480" s="312"/>
      <c r="J480" s="312"/>
      <c r="K480" s="312"/>
      <c r="L480" s="312"/>
      <c r="M480" s="312"/>
      <c r="N480" s="312"/>
      <c r="O480" s="313"/>
      <c r="P480" s="313"/>
      <c r="Q480" s="313"/>
      <c r="R480" s="312"/>
      <c r="S480" s="312"/>
      <c r="T480" s="312"/>
      <c r="U480" s="312"/>
      <c r="V480" s="312"/>
      <c r="W480" s="312"/>
      <c r="X480" s="312"/>
      <c r="Y480" s="95">
        <f t="shared" ref="Y480" si="201">SUM(C480:X480)</f>
        <v>0</v>
      </c>
    </row>
    <row r="481" spans="1:25" ht="21" customHeight="1">
      <c r="A481" s="93">
        <v>110300</v>
      </c>
      <c r="B481" s="94" t="s">
        <v>167</v>
      </c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164"/>
      <c r="P481" s="164"/>
      <c r="Q481" s="164"/>
      <c r="R481" s="70"/>
      <c r="S481" s="70"/>
      <c r="T481" s="70"/>
      <c r="U481" s="70"/>
      <c r="V481" s="70"/>
      <c r="W481" s="70"/>
      <c r="X481" s="70">
        <f>12445+651</f>
        <v>13096</v>
      </c>
      <c r="Y481" s="95">
        <f>SUM(C481:X481)</f>
        <v>13096</v>
      </c>
    </row>
    <row r="482" spans="1:25" ht="21" customHeight="1">
      <c r="A482" s="93">
        <v>110700</v>
      </c>
      <c r="B482" s="94" t="s">
        <v>101</v>
      </c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164"/>
      <c r="P482" s="164"/>
      <c r="Q482" s="164"/>
      <c r="R482" s="70"/>
      <c r="S482" s="70"/>
      <c r="T482" s="70"/>
      <c r="U482" s="70"/>
      <c r="V482" s="70"/>
      <c r="W482" s="70"/>
      <c r="X482" s="70"/>
      <c r="Y482" s="95">
        <f t="shared" ref="Y482:Y487" si="202">SUM(C482:X482)</f>
        <v>0</v>
      </c>
    </row>
    <row r="483" spans="1:25" ht="21" customHeight="1">
      <c r="A483" s="93">
        <v>110800</v>
      </c>
      <c r="B483" s="94" t="s">
        <v>105</v>
      </c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70"/>
      <c r="N483" s="70"/>
      <c r="O483" s="164"/>
      <c r="P483" s="164"/>
      <c r="Q483" s="164"/>
      <c r="R483" s="70"/>
      <c r="S483" s="70"/>
      <c r="T483" s="70"/>
      <c r="U483" s="70"/>
      <c r="V483" s="70"/>
      <c r="W483" s="70"/>
      <c r="X483" s="70"/>
      <c r="Y483" s="95">
        <f t="shared" si="202"/>
        <v>0</v>
      </c>
    </row>
    <row r="484" spans="1:25" ht="21" customHeight="1">
      <c r="A484" s="93">
        <v>110900</v>
      </c>
      <c r="B484" s="94" t="s">
        <v>106</v>
      </c>
      <c r="C484" s="70"/>
      <c r="D484" s="70"/>
      <c r="E484" s="70"/>
      <c r="F484" s="70"/>
      <c r="G484" s="70"/>
      <c r="H484" s="70"/>
      <c r="I484" s="70"/>
      <c r="J484" s="70"/>
      <c r="K484" s="70"/>
      <c r="L484" s="70"/>
      <c r="M484" s="70"/>
      <c r="N484" s="70"/>
      <c r="O484" s="164"/>
      <c r="P484" s="164"/>
      <c r="Q484" s="164"/>
      <c r="R484" s="70"/>
      <c r="S484" s="70"/>
      <c r="T484" s="70"/>
      <c r="U484" s="70"/>
      <c r="V484" s="70"/>
      <c r="W484" s="70"/>
      <c r="X484" s="70">
        <v>8500</v>
      </c>
      <c r="Y484" s="95">
        <f t="shared" si="202"/>
        <v>8500</v>
      </c>
    </row>
    <row r="485" spans="1:25" ht="21" customHeight="1">
      <c r="A485" s="93">
        <v>111000</v>
      </c>
      <c r="B485" s="94" t="s">
        <v>107</v>
      </c>
      <c r="C485" s="70"/>
      <c r="D485" s="70"/>
      <c r="E485" s="70"/>
      <c r="F485" s="70"/>
      <c r="G485" s="70"/>
      <c r="H485" s="70"/>
      <c r="I485" s="70"/>
      <c r="J485" s="70"/>
      <c r="K485" s="70"/>
      <c r="L485" s="70"/>
      <c r="M485" s="70"/>
      <c r="N485" s="70"/>
      <c r="O485" s="164"/>
      <c r="P485" s="164"/>
      <c r="Q485" s="164"/>
      <c r="R485" s="70"/>
      <c r="S485" s="70"/>
      <c r="T485" s="70"/>
      <c r="U485" s="70"/>
      <c r="V485" s="70"/>
      <c r="W485" s="70"/>
      <c r="X485" s="70"/>
      <c r="Y485" s="95">
        <f t="shared" si="202"/>
        <v>0</v>
      </c>
    </row>
    <row r="486" spans="1:25" ht="21" customHeight="1">
      <c r="A486" s="93">
        <v>111100</v>
      </c>
      <c r="B486" s="94" t="s">
        <v>330</v>
      </c>
      <c r="C486" s="70"/>
      <c r="D486" s="70"/>
      <c r="E486" s="70"/>
      <c r="F486" s="70"/>
      <c r="G486" s="70"/>
      <c r="H486" s="70"/>
      <c r="I486" s="70"/>
      <c r="J486" s="70"/>
      <c r="K486" s="70"/>
      <c r="L486" s="70"/>
      <c r="M486" s="70"/>
      <c r="N486" s="70"/>
      <c r="O486" s="164"/>
      <c r="P486" s="164"/>
      <c r="Q486" s="164"/>
      <c r="R486" s="70"/>
      <c r="S486" s="70"/>
      <c r="T486" s="70"/>
      <c r="U486" s="70"/>
      <c r="V486" s="70"/>
      <c r="W486" s="70"/>
      <c r="X486" s="70"/>
      <c r="Y486" s="95">
        <f t="shared" si="202"/>
        <v>0</v>
      </c>
    </row>
    <row r="487" spans="1:25" ht="21" customHeight="1">
      <c r="A487" s="93">
        <v>111100</v>
      </c>
      <c r="B487" s="94" t="s">
        <v>297</v>
      </c>
      <c r="C487" s="70"/>
      <c r="D487" s="70"/>
      <c r="E487" s="70"/>
      <c r="F487" s="70"/>
      <c r="G487" s="70"/>
      <c r="H487" s="70"/>
      <c r="I487" s="70"/>
      <c r="J487" s="70"/>
      <c r="K487" s="70"/>
      <c r="L487" s="70"/>
      <c r="M487" s="70"/>
      <c r="N487" s="70"/>
      <c r="O487" s="164"/>
      <c r="P487" s="164"/>
      <c r="Q487" s="164"/>
      <c r="R487" s="70"/>
      <c r="S487" s="70"/>
      <c r="T487" s="70"/>
      <c r="U487" s="70"/>
      <c r="V487" s="70"/>
      <c r="W487" s="70"/>
      <c r="X487" s="70"/>
      <c r="Y487" s="95">
        <f t="shared" si="202"/>
        <v>0</v>
      </c>
    </row>
    <row r="488" spans="1:25" ht="21" customHeight="1">
      <c r="A488" s="96">
        <v>120100</v>
      </c>
      <c r="B488" s="97" t="s">
        <v>168</v>
      </c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165"/>
      <c r="P488" s="165"/>
      <c r="Q488" s="165"/>
      <c r="R488" s="76"/>
      <c r="S488" s="76"/>
      <c r="T488" s="76"/>
      <c r="U488" s="76"/>
      <c r="V488" s="76"/>
      <c r="W488" s="76"/>
      <c r="X488" s="76"/>
      <c r="Y488" s="98">
        <f>SUM(C488:X488)</f>
        <v>0</v>
      </c>
    </row>
    <row r="489" spans="1:25" ht="21" customHeight="1">
      <c r="A489" s="426" t="s">
        <v>174</v>
      </c>
      <c r="B489" s="427"/>
      <c r="C489" s="95">
        <f>SUM(C479:C488)</f>
        <v>0</v>
      </c>
      <c r="D489" s="95">
        <f t="shared" ref="D489:W489" si="203">SUM(D479:D488)</f>
        <v>0</v>
      </c>
      <c r="E489" s="95">
        <f t="shared" si="203"/>
        <v>0</v>
      </c>
      <c r="F489" s="95">
        <f t="shared" si="203"/>
        <v>0</v>
      </c>
      <c r="G489" s="95">
        <f t="shared" si="203"/>
        <v>0</v>
      </c>
      <c r="H489" s="95">
        <f t="shared" si="203"/>
        <v>0</v>
      </c>
      <c r="I489" s="95">
        <f t="shared" si="203"/>
        <v>0</v>
      </c>
      <c r="J489" s="95">
        <f t="shared" si="203"/>
        <v>0</v>
      </c>
      <c r="K489" s="95">
        <f t="shared" si="203"/>
        <v>0</v>
      </c>
      <c r="L489" s="95">
        <f t="shared" si="203"/>
        <v>0</v>
      </c>
      <c r="M489" s="95">
        <f t="shared" si="203"/>
        <v>0</v>
      </c>
      <c r="N489" s="95">
        <f t="shared" si="203"/>
        <v>0</v>
      </c>
      <c r="O489" s="95">
        <f t="shared" si="203"/>
        <v>0</v>
      </c>
      <c r="P489" s="95">
        <f t="shared" si="203"/>
        <v>0</v>
      </c>
      <c r="Q489" s="95">
        <f t="shared" si="203"/>
        <v>0</v>
      </c>
      <c r="R489" s="95">
        <f t="shared" si="203"/>
        <v>0</v>
      </c>
      <c r="S489" s="95">
        <f t="shared" si="203"/>
        <v>0</v>
      </c>
      <c r="T489" s="95">
        <f t="shared" si="203"/>
        <v>0</v>
      </c>
      <c r="U489" s="95">
        <f t="shared" si="203"/>
        <v>0</v>
      </c>
      <c r="V489" s="95">
        <f t="shared" si="203"/>
        <v>0</v>
      </c>
      <c r="W489" s="95">
        <f t="shared" si="203"/>
        <v>0</v>
      </c>
      <c r="X489" s="95">
        <f>SUM(X479:X488)</f>
        <v>21596</v>
      </c>
      <c r="Y489" s="95">
        <f>SUM(C489:X489)</f>
        <v>21596</v>
      </c>
    </row>
    <row r="490" spans="1:25" ht="21" customHeight="1">
      <c r="A490" s="428" t="s">
        <v>175</v>
      </c>
      <c r="B490" s="429"/>
      <c r="C490" s="99">
        <f>+C489+C371</f>
        <v>0</v>
      </c>
      <c r="D490" s="99">
        <f t="shared" ref="D490:W490" si="204">+D489+D371</f>
        <v>0</v>
      </c>
      <c r="E490" s="99">
        <f t="shared" si="204"/>
        <v>0</v>
      </c>
      <c r="F490" s="99">
        <f t="shared" si="204"/>
        <v>0</v>
      </c>
      <c r="G490" s="99">
        <f t="shared" si="204"/>
        <v>0</v>
      </c>
      <c r="H490" s="99">
        <f t="shared" si="204"/>
        <v>0</v>
      </c>
      <c r="I490" s="99">
        <f t="shared" si="204"/>
        <v>0</v>
      </c>
      <c r="J490" s="99">
        <f t="shared" si="204"/>
        <v>0</v>
      </c>
      <c r="K490" s="99">
        <f t="shared" si="204"/>
        <v>0</v>
      </c>
      <c r="L490" s="99">
        <f t="shared" si="204"/>
        <v>0</v>
      </c>
      <c r="M490" s="99">
        <f t="shared" si="204"/>
        <v>0</v>
      </c>
      <c r="N490" s="99">
        <f t="shared" si="204"/>
        <v>0</v>
      </c>
      <c r="O490" s="99">
        <f t="shared" si="204"/>
        <v>0</v>
      </c>
      <c r="P490" s="99">
        <f t="shared" si="204"/>
        <v>0</v>
      </c>
      <c r="Q490" s="99">
        <f t="shared" si="204"/>
        <v>0</v>
      </c>
      <c r="R490" s="99">
        <f t="shared" si="204"/>
        <v>0</v>
      </c>
      <c r="S490" s="99">
        <f t="shared" si="204"/>
        <v>0</v>
      </c>
      <c r="T490" s="99">
        <f t="shared" si="204"/>
        <v>0</v>
      </c>
      <c r="U490" s="99">
        <f t="shared" si="204"/>
        <v>0</v>
      </c>
      <c r="V490" s="99">
        <f t="shared" si="204"/>
        <v>0</v>
      </c>
      <c r="W490" s="99">
        <f t="shared" si="204"/>
        <v>0</v>
      </c>
      <c r="X490" s="99">
        <f>+X489+X372</f>
        <v>673326.67999999993</v>
      </c>
      <c r="Y490" s="99">
        <f>+Y489+Y372</f>
        <v>673326.67999999993</v>
      </c>
    </row>
    <row r="491" spans="1:25" ht="21" customHeight="1">
      <c r="A491" s="432" t="s">
        <v>386</v>
      </c>
      <c r="B491" s="433"/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67"/>
      <c r="P491" s="167"/>
      <c r="Q491" s="167"/>
      <c r="R491" s="100"/>
      <c r="S491" s="100"/>
      <c r="T491" s="100"/>
      <c r="U491" s="100"/>
      <c r="V491" s="100"/>
      <c r="W491" s="100"/>
      <c r="X491" s="100"/>
      <c r="Y491" s="101">
        <f t="shared" ref="Y491:Y496" si="205">SUM(C491:X491)</f>
        <v>0</v>
      </c>
    </row>
    <row r="492" spans="1:25" ht="21" customHeight="1">
      <c r="A492" s="93">
        <v>210100</v>
      </c>
      <c r="B492" s="68" t="s">
        <v>169</v>
      </c>
      <c r="C492" s="70">
        <v>57960</v>
      </c>
      <c r="D492" s="70">
        <v>0</v>
      </c>
      <c r="E492" s="70"/>
      <c r="F492" s="70"/>
      <c r="G492" s="70"/>
      <c r="H492" s="70"/>
      <c r="I492" s="70"/>
      <c r="J492" s="70"/>
      <c r="K492" s="70"/>
      <c r="L492" s="70">
        <v>0</v>
      </c>
      <c r="M492" s="70"/>
      <c r="N492" s="70"/>
      <c r="O492" s="164"/>
      <c r="P492" s="164"/>
      <c r="Q492" s="164"/>
      <c r="R492" s="70"/>
      <c r="S492" s="70"/>
      <c r="T492" s="70"/>
      <c r="U492" s="70"/>
      <c r="V492" s="70"/>
      <c r="W492" s="70"/>
      <c r="X492" s="70"/>
      <c r="Y492" s="95">
        <f t="shared" si="205"/>
        <v>57960</v>
      </c>
    </row>
    <row r="493" spans="1:25" ht="21" customHeight="1">
      <c r="A493" s="93">
        <v>210200</v>
      </c>
      <c r="B493" s="68" t="s">
        <v>173</v>
      </c>
      <c r="C493" s="70">
        <v>10000</v>
      </c>
      <c r="D493" s="70"/>
      <c r="E493" s="70"/>
      <c r="F493" s="70"/>
      <c r="G493" s="70"/>
      <c r="H493" s="70"/>
      <c r="I493" s="70"/>
      <c r="J493" s="70"/>
      <c r="K493" s="70"/>
      <c r="L493" s="70"/>
      <c r="M493" s="70"/>
      <c r="N493" s="70"/>
      <c r="O493" s="164"/>
      <c r="P493" s="164"/>
      <c r="Q493" s="164"/>
      <c r="R493" s="70"/>
      <c r="S493" s="70"/>
      <c r="T493" s="70"/>
      <c r="U493" s="70"/>
      <c r="V493" s="70"/>
      <c r="W493" s="70"/>
      <c r="X493" s="70"/>
      <c r="Y493" s="95">
        <f t="shared" si="205"/>
        <v>10000</v>
      </c>
    </row>
    <row r="494" spans="1:25" ht="21" customHeight="1">
      <c r="A494" s="93">
        <v>210300</v>
      </c>
      <c r="B494" s="68" t="s">
        <v>170</v>
      </c>
      <c r="C494" s="70">
        <v>10000</v>
      </c>
      <c r="D494" s="70"/>
      <c r="E494" s="70"/>
      <c r="F494" s="70"/>
      <c r="G494" s="70"/>
      <c r="H494" s="70"/>
      <c r="I494" s="70"/>
      <c r="J494" s="70"/>
      <c r="K494" s="70"/>
      <c r="L494" s="70"/>
      <c r="M494" s="70"/>
      <c r="N494" s="70"/>
      <c r="O494" s="164"/>
      <c r="P494" s="164"/>
      <c r="Q494" s="164"/>
      <c r="R494" s="70"/>
      <c r="S494" s="70"/>
      <c r="T494" s="70"/>
      <c r="U494" s="70"/>
      <c r="V494" s="70"/>
      <c r="W494" s="70"/>
      <c r="X494" s="70"/>
      <c r="Y494" s="95">
        <f t="shared" si="205"/>
        <v>10000</v>
      </c>
    </row>
    <row r="495" spans="1:25" ht="21" customHeight="1">
      <c r="A495" s="93">
        <v>210400</v>
      </c>
      <c r="B495" s="68" t="s">
        <v>171</v>
      </c>
      <c r="C495" s="70">
        <v>16560</v>
      </c>
      <c r="D495" s="70"/>
      <c r="E495" s="70"/>
      <c r="F495" s="70"/>
      <c r="G495" s="70"/>
      <c r="H495" s="70"/>
      <c r="I495" s="70"/>
      <c r="J495" s="70"/>
      <c r="K495" s="70"/>
      <c r="L495" s="70"/>
      <c r="M495" s="70"/>
      <c r="N495" s="70"/>
      <c r="O495" s="164"/>
      <c r="P495" s="164"/>
      <c r="Q495" s="164"/>
      <c r="R495" s="70"/>
      <c r="S495" s="70"/>
      <c r="T495" s="70"/>
      <c r="U495" s="70"/>
      <c r="V495" s="70"/>
      <c r="W495" s="70"/>
      <c r="X495" s="70"/>
      <c r="Y495" s="95">
        <f t="shared" si="205"/>
        <v>16560</v>
      </c>
    </row>
    <row r="496" spans="1:25" ht="21" customHeight="1">
      <c r="A496" s="96">
        <v>210600</v>
      </c>
      <c r="B496" s="69" t="s">
        <v>172</v>
      </c>
      <c r="C496" s="70">
        <v>124200</v>
      </c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165"/>
      <c r="P496" s="165"/>
      <c r="Q496" s="165"/>
      <c r="R496" s="76"/>
      <c r="S496" s="76"/>
      <c r="T496" s="76"/>
      <c r="U496" s="76"/>
      <c r="V496" s="76"/>
      <c r="W496" s="76"/>
      <c r="X496" s="76"/>
      <c r="Y496" s="98">
        <f t="shared" si="205"/>
        <v>124200</v>
      </c>
    </row>
    <row r="497" spans="1:25" ht="21" customHeight="1">
      <c r="A497" s="426" t="s">
        <v>174</v>
      </c>
      <c r="B497" s="427"/>
      <c r="C497" s="95">
        <f>SUM(C492:C496)</f>
        <v>218720</v>
      </c>
      <c r="D497" s="95">
        <f>SUM(D491:D496)</f>
        <v>0</v>
      </c>
      <c r="E497" s="95">
        <f>SUM(E491:E496)</f>
        <v>0</v>
      </c>
      <c r="F497" s="95">
        <f t="shared" ref="F497:L497" si="206">SUM(F491:F496)</f>
        <v>0</v>
      </c>
      <c r="G497" s="95">
        <f t="shared" si="206"/>
        <v>0</v>
      </c>
      <c r="H497" s="95">
        <f t="shared" si="206"/>
        <v>0</v>
      </c>
      <c r="I497" s="95">
        <f t="shared" si="206"/>
        <v>0</v>
      </c>
      <c r="J497" s="95">
        <f t="shared" si="206"/>
        <v>0</v>
      </c>
      <c r="K497" s="95">
        <f t="shared" si="206"/>
        <v>0</v>
      </c>
      <c r="L497" s="95">
        <f t="shared" si="206"/>
        <v>0</v>
      </c>
      <c r="M497" s="95">
        <f>SUM(M491:M496)</f>
        <v>0</v>
      </c>
      <c r="N497" s="95">
        <f>SUM(N491:N496)</f>
        <v>0</v>
      </c>
      <c r="O497" s="95">
        <f>SUM(O491:O496)</f>
        <v>0</v>
      </c>
      <c r="P497" s="95">
        <f t="shared" ref="P497:X497" si="207">SUM(P491:P496)</f>
        <v>0</v>
      </c>
      <c r="Q497" s="95">
        <f t="shared" si="207"/>
        <v>0</v>
      </c>
      <c r="R497" s="95">
        <f t="shared" si="207"/>
        <v>0</v>
      </c>
      <c r="S497" s="95">
        <f t="shared" si="207"/>
        <v>0</v>
      </c>
      <c r="T497" s="95">
        <f t="shared" si="207"/>
        <v>0</v>
      </c>
      <c r="U497" s="95">
        <f t="shared" si="207"/>
        <v>0</v>
      </c>
      <c r="V497" s="95">
        <f t="shared" si="207"/>
        <v>0</v>
      </c>
      <c r="W497" s="95">
        <f t="shared" si="207"/>
        <v>0</v>
      </c>
      <c r="X497" s="95">
        <f t="shared" si="207"/>
        <v>0</v>
      </c>
      <c r="Y497" s="95">
        <f>SUM(C497:X497)</f>
        <v>218720</v>
      </c>
    </row>
    <row r="498" spans="1:25" ht="21" customHeight="1">
      <c r="A498" s="428" t="s">
        <v>175</v>
      </c>
      <c r="B498" s="429"/>
      <c r="C498" s="95">
        <f>+C497+C380</f>
        <v>1093600</v>
      </c>
      <c r="D498" s="95">
        <f t="shared" ref="D498:Y498" si="208">+D497+D380</f>
        <v>0</v>
      </c>
      <c r="E498" s="95">
        <f t="shared" si="208"/>
        <v>0</v>
      </c>
      <c r="F498" s="95">
        <f t="shared" si="208"/>
        <v>0</v>
      </c>
      <c r="G498" s="95">
        <f t="shared" si="208"/>
        <v>0</v>
      </c>
      <c r="H498" s="95">
        <f t="shared" si="208"/>
        <v>0</v>
      </c>
      <c r="I498" s="95">
        <f t="shared" si="208"/>
        <v>0</v>
      </c>
      <c r="J498" s="95">
        <f t="shared" si="208"/>
        <v>0</v>
      </c>
      <c r="K498" s="95">
        <f t="shared" si="208"/>
        <v>0</v>
      </c>
      <c r="L498" s="95">
        <f t="shared" si="208"/>
        <v>0</v>
      </c>
      <c r="M498" s="95">
        <f t="shared" si="208"/>
        <v>0</v>
      </c>
      <c r="N498" s="95">
        <f t="shared" si="208"/>
        <v>0</v>
      </c>
      <c r="O498" s="95">
        <f t="shared" si="208"/>
        <v>0</v>
      </c>
      <c r="P498" s="95">
        <f t="shared" si="208"/>
        <v>0</v>
      </c>
      <c r="Q498" s="95">
        <f t="shared" si="208"/>
        <v>0</v>
      </c>
      <c r="R498" s="95">
        <f t="shared" si="208"/>
        <v>0</v>
      </c>
      <c r="S498" s="95">
        <f t="shared" si="208"/>
        <v>0</v>
      </c>
      <c r="T498" s="95">
        <f t="shared" si="208"/>
        <v>0</v>
      </c>
      <c r="U498" s="95">
        <f t="shared" si="208"/>
        <v>0</v>
      </c>
      <c r="V498" s="95">
        <f t="shared" si="208"/>
        <v>0</v>
      </c>
      <c r="W498" s="95">
        <f t="shared" si="208"/>
        <v>0</v>
      </c>
      <c r="X498" s="95">
        <f t="shared" si="208"/>
        <v>0</v>
      </c>
      <c r="Y498" s="95">
        <f t="shared" si="208"/>
        <v>1093600</v>
      </c>
    </row>
    <row r="499" spans="1:25" ht="21" customHeight="1">
      <c r="A499" s="432" t="s">
        <v>387</v>
      </c>
      <c r="B499" s="433"/>
      <c r="C499" s="100"/>
      <c r="D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0"/>
      <c r="O499" s="167"/>
      <c r="P499" s="167"/>
      <c r="Q499" s="167"/>
      <c r="R499" s="100"/>
      <c r="S499" s="100"/>
      <c r="T499" s="100"/>
      <c r="U499" s="100"/>
      <c r="V499" s="100"/>
      <c r="W499" s="100"/>
      <c r="X499" s="100"/>
      <c r="Y499" s="101">
        <f t="shared" ref="Y499" si="209">SUM(C499:X499)</f>
        <v>0</v>
      </c>
    </row>
    <row r="500" spans="1:25" ht="21" customHeight="1">
      <c r="A500" s="93">
        <v>220100</v>
      </c>
      <c r="B500" s="68" t="s">
        <v>176</v>
      </c>
      <c r="C500" s="70">
        <v>164690</v>
      </c>
      <c r="D500" s="70">
        <v>81680</v>
      </c>
      <c r="E500" s="70">
        <v>22600</v>
      </c>
      <c r="F500" s="70"/>
      <c r="G500" s="70">
        <v>23370</v>
      </c>
      <c r="H500" s="70"/>
      <c r="I500" s="70"/>
      <c r="J500" s="70"/>
      <c r="K500" s="70"/>
      <c r="L500" s="70">
        <v>52970</v>
      </c>
      <c r="M500" s="70"/>
      <c r="N500" s="237"/>
      <c r="O500" s="268"/>
      <c r="P500" s="164">
        <v>19660</v>
      </c>
      <c r="Q500" s="164"/>
      <c r="R500" s="70"/>
      <c r="S500" s="70"/>
      <c r="T500" s="70"/>
      <c r="U500" s="70"/>
      <c r="V500" s="70"/>
      <c r="W500" s="70"/>
      <c r="X500" s="70"/>
      <c r="Y500" s="95">
        <f>SUM(C500:X500)</f>
        <v>364970</v>
      </c>
    </row>
    <row r="501" spans="1:25" ht="21" customHeight="1">
      <c r="A501" s="93">
        <v>220200</v>
      </c>
      <c r="B501" s="68" t="s">
        <v>177</v>
      </c>
      <c r="C501" s="70">
        <v>5600</v>
      </c>
      <c r="D501" s="70">
        <v>1185</v>
      </c>
      <c r="E501" s="70"/>
      <c r="F501" s="70"/>
      <c r="G501" s="70"/>
      <c r="H501" s="70"/>
      <c r="I501" s="70"/>
      <c r="J501" s="70"/>
      <c r="K501" s="70"/>
      <c r="L501" s="70"/>
      <c r="M501" s="70"/>
      <c r="N501" s="238"/>
      <c r="O501" s="94"/>
      <c r="P501" s="164"/>
      <c r="Q501" s="164"/>
      <c r="R501" s="70"/>
      <c r="S501" s="70"/>
      <c r="T501" s="70"/>
      <c r="U501" s="70"/>
      <c r="V501" s="70"/>
      <c r="W501" s="70"/>
      <c r="X501" s="70"/>
      <c r="Y501" s="95">
        <f t="shared" ref="Y501:Y504" si="210">SUM(C501:X501)</f>
        <v>6785</v>
      </c>
    </row>
    <row r="502" spans="1:25" ht="21" customHeight="1">
      <c r="A502" s="93">
        <v>220300</v>
      </c>
      <c r="B502" s="68" t="s">
        <v>178</v>
      </c>
      <c r="C502" s="70">
        <v>9100</v>
      </c>
      <c r="D502" s="70">
        <v>0</v>
      </c>
      <c r="E502" s="70"/>
      <c r="F502" s="70"/>
      <c r="G502" s="70"/>
      <c r="H502" s="70"/>
      <c r="I502" s="70"/>
      <c r="J502" s="70"/>
      <c r="K502" s="70"/>
      <c r="L502" s="70"/>
      <c r="M502" s="70"/>
      <c r="N502" s="238"/>
      <c r="O502" s="94"/>
      <c r="P502" s="164"/>
      <c r="Q502" s="164"/>
      <c r="R502" s="70"/>
      <c r="S502" s="70"/>
      <c r="T502" s="70"/>
      <c r="U502" s="70"/>
      <c r="V502" s="70"/>
      <c r="W502" s="70"/>
      <c r="X502" s="70"/>
      <c r="Y502" s="95">
        <f t="shared" si="210"/>
        <v>9100</v>
      </c>
    </row>
    <row r="503" spans="1:25" ht="21" customHeight="1">
      <c r="A503" s="93">
        <v>220500</v>
      </c>
      <c r="B503" s="68" t="s">
        <v>3</v>
      </c>
      <c r="C503" s="70">
        <v>0</v>
      </c>
      <c r="D503" s="70">
        <v>33910</v>
      </c>
      <c r="E503" s="70"/>
      <c r="F503" s="70"/>
      <c r="G503" s="70"/>
      <c r="H503" s="70"/>
      <c r="I503" s="70"/>
      <c r="J503" s="70"/>
      <c r="K503" s="70"/>
      <c r="L503" s="70"/>
      <c r="M503" s="70"/>
      <c r="N503" s="238"/>
      <c r="O503" s="94"/>
      <c r="P503" s="164"/>
      <c r="Q503" s="164"/>
      <c r="R503" s="70"/>
      <c r="S503" s="70"/>
      <c r="T503" s="70"/>
      <c r="U503" s="70"/>
      <c r="V503" s="70"/>
      <c r="W503" s="70"/>
      <c r="X503" s="70"/>
      <c r="Y503" s="95">
        <f t="shared" si="210"/>
        <v>33910</v>
      </c>
    </row>
    <row r="504" spans="1:25" ht="21" customHeight="1">
      <c r="A504" s="93">
        <v>220600</v>
      </c>
      <c r="B504" s="68" t="s">
        <v>179</v>
      </c>
      <c r="C504" s="70">
        <v>0</v>
      </c>
      <c r="D504" s="70">
        <v>0</v>
      </c>
      <c r="E504" s="70"/>
      <c r="F504" s="70"/>
      <c r="G504" s="70"/>
      <c r="H504" s="70"/>
      <c r="I504" s="70"/>
      <c r="J504" s="70"/>
      <c r="K504" s="70"/>
      <c r="L504" s="70">
        <v>0</v>
      </c>
      <c r="M504" s="70"/>
      <c r="N504" s="239"/>
      <c r="O504" s="165"/>
      <c r="P504" s="164"/>
      <c r="Q504" s="164"/>
      <c r="R504" s="70"/>
      <c r="S504" s="70"/>
      <c r="T504" s="70"/>
      <c r="U504" s="70"/>
      <c r="V504" s="70"/>
      <c r="W504" s="70"/>
      <c r="X504" s="70"/>
      <c r="Y504" s="95">
        <f t="shared" si="210"/>
        <v>0</v>
      </c>
    </row>
    <row r="505" spans="1:25" ht="21" customHeight="1">
      <c r="A505" s="435" t="s">
        <v>139</v>
      </c>
      <c r="B505" s="435"/>
      <c r="C505" s="434" t="s">
        <v>141</v>
      </c>
      <c r="D505" s="434"/>
      <c r="E505" s="437" t="s">
        <v>144</v>
      </c>
      <c r="F505" s="438"/>
      <c r="G505" s="434" t="s">
        <v>146</v>
      </c>
      <c r="H505" s="435"/>
      <c r="I505" s="437" t="s">
        <v>160</v>
      </c>
      <c r="J505" s="438"/>
      <c r="K505" s="370" t="s">
        <v>161</v>
      </c>
      <c r="L505" s="437" t="s">
        <v>162</v>
      </c>
      <c r="M505" s="439"/>
      <c r="N505" s="439"/>
      <c r="O505" s="438"/>
      <c r="P505" s="437" t="s">
        <v>163</v>
      </c>
      <c r="Q505" s="438"/>
      <c r="R505" s="437" t="s">
        <v>164</v>
      </c>
      <c r="S505" s="439"/>
      <c r="T505" s="438"/>
      <c r="U505" s="434" t="s">
        <v>165</v>
      </c>
      <c r="V505" s="435"/>
      <c r="W505" s="370" t="s">
        <v>212</v>
      </c>
      <c r="X505" s="370" t="s">
        <v>166</v>
      </c>
      <c r="Y505" s="436" t="s">
        <v>17</v>
      </c>
    </row>
    <row r="506" spans="1:25" ht="21" customHeight="1">
      <c r="A506" s="435" t="s">
        <v>140</v>
      </c>
      <c r="B506" s="435"/>
      <c r="C506" s="370" t="s">
        <v>142</v>
      </c>
      <c r="D506" s="370" t="s">
        <v>143</v>
      </c>
      <c r="E506" s="370" t="s">
        <v>145</v>
      </c>
      <c r="F506" s="370" t="s">
        <v>214</v>
      </c>
      <c r="G506" s="370" t="s">
        <v>147</v>
      </c>
      <c r="H506" s="370" t="s">
        <v>148</v>
      </c>
      <c r="I506" s="370" t="s">
        <v>149</v>
      </c>
      <c r="J506" s="370" t="s">
        <v>150</v>
      </c>
      <c r="K506" s="370" t="s">
        <v>151</v>
      </c>
      <c r="L506" s="370" t="s">
        <v>152</v>
      </c>
      <c r="M506" s="370" t="s">
        <v>153</v>
      </c>
      <c r="N506" s="370" t="s">
        <v>238</v>
      </c>
      <c r="O506" s="370" t="s">
        <v>331</v>
      </c>
      <c r="P506" s="371" t="s">
        <v>303</v>
      </c>
      <c r="Q506" s="371" t="s">
        <v>154</v>
      </c>
      <c r="R506" s="370" t="s">
        <v>155</v>
      </c>
      <c r="S506" s="370" t="s">
        <v>156</v>
      </c>
      <c r="T506" s="370" t="s">
        <v>216</v>
      </c>
      <c r="U506" s="370" t="s">
        <v>157</v>
      </c>
      <c r="V506" s="370" t="s">
        <v>158</v>
      </c>
      <c r="W506" s="370" t="s">
        <v>213</v>
      </c>
      <c r="X506" s="370" t="s">
        <v>159</v>
      </c>
      <c r="Y506" s="436"/>
    </row>
    <row r="507" spans="1:25" ht="21" customHeight="1">
      <c r="A507" s="93">
        <v>220700</v>
      </c>
      <c r="B507" s="68" t="s">
        <v>180</v>
      </c>
      <c r="C507" s="70">
        <v>84104</v>
      </c>
      <c r="D507" s="70">
        <v>25550</v>
      </c>
      <c r="E507" s="70">
        <v>9400</v>
      </c>
      <c r="F507" s="70"/>
      <c r="G507" s="70">
        <v>29500</v>
      </c>
      <c r="H507" s="74"/>
      <c r="I507" s="70">
        <v>27210</v>
      </c>
      <c r="J507" s="70"/>
      <c r="K507" s="70"/>
      <c r="L507" s="70">
        <v>38770</v>
      </c>
      <c r="M507" s="70"/>
      <c r="N507" s="70"/>
      <c r="O507" s="164"/>
      <c r="P507" s="164">
        <v>26750</v>
      </c>
      <c r="Q507" s="164"/>
      <c r="R507" s="70"/>
      <c r="S507" s="70"/>
      <c r="T507" s="70"/>
      <c r="U507" s="70"/>
      <c r="V507" s="70"/>
      <c r="W507" s="70"/>
      <c r="X507" s="70"/>
      <c r="Y507" s="95">
        <f>SUM(C507:X507)</f>
        <v>241284</v>
      </c>
    </row>
    <row r="508" spans="1:25" ht="21" customHeight="1">
      <c r="A508" s="96">
        <v>220800</v>
      </c>
      <c r="B508" s="69" t="s">
        <v>181</v>
      </c>
      <c r="C508" s="70">
        <v>11068</v>
      </c>
      <c r="D508" s="76">
        <v>2000</v>
      </c>
      <c r="E508" s="76">
        <v>2000</v>
      </c>
      <c r="F508" s="76"/>
      <c r="G508" s="76">
        <v>1000</v>
      </c>
      <c r="H508" s="123"/>
      <c r="I508" s="76">
        <v>2000</v>
      </c>
      <c r="J508" s="76"/>
      <c r="K508" s="76"/>
      <c r="L508" s="70">
        <v>7000</v>
      </c>
      <c r="M508" s="76"/>
      <c r="N508" s="76"/>
      <c r="O508" s="165"/>
      <c r="P508" s="165">
        <v>2000</v>
      </c>
      <c r="Q508" s="165"/>
      <c r="R508" s="76"/>
      <c r="S508" s="76"/>
      <c r="T508" s="76"/>
      <c r="U508" s="76"/>
      <c r="V508" s="76"/>
      <c r="W508" s="76"/>
      <c r="X508" s="76"/>
      <c r="Y508" s="95">
        <f>SUM(C508:X508)</f>
        <v>27068</v>
      </c>
    </row>
    <row r="509" spans="1:25" ht="21" customHeight="1">
      <c r="A509" s="426" t="s">
        <v>174</v>
      </c>
      <c r="B509" s="427"/>
      <c r="C509" s="95">
        <f t="shared" ref="C509:K509" si="211">SUM(C499:C508)</f>
        <v>274562</v>
      </c>
      <c r="D509" s="95">
        <f t="shared" si="211"/>
        <v>144325</v>
      </c>
      <c r="E509" s="95">
        <f t="shared" si="211"/>
        <v>34000</v>
      </c>
      <c r="F509" s="95">
        <f t="shared" si="211"/>
        <v>0</v>
      </c>
      <c r="G509" s="95">
        <f t="shared" si="211"/>
        <v>53870</v>
      </c>
      <c r="H509" s="95">
        <f t="shared" si="211"/>
        <v>0</v>
      </c>
      <c r="I509" s="95">
        <f t="shared" si="211"/>
        <v>29210</v>
      </c>
      <c r="J509" s="95">
        <f t="shared" si="211"/>
        <v>0</v>
      </c>
      <c r="K509" s="95">
        <f t="shared" si="211"/>
        <v>0</v>
      </c>
      <c r="L509" s="95">
        <f>SUM(L499:L508)</f>
        <v>98740</v>
      </c>
      <c r="M509" s="95">
        <f>SUM(M499:M508)</f>
        <v>0</v>
      </c>
      <c r="N509" s="95">
        <f t="shared" ref="N509:O509" si="212">SUM(N499:N508)</f>
        <v>0</v>
      </c>
      <c r="O509" s="95">
        <f t="shared" si="212"/>
        <v>0</v>
      </c>
      <c r="P509" s="95">
        <f>SUM(P499:P508)</f>
        <v>48410</v>
      </c>
      <c r="Q509" s="95">
        <f t="shared" ref="Q509:Y509" si="213">SUM(Q499:Q508)</f>
        <v>0</v>
      </c>
      <c r="R509" s="95">
        <f t="shared" si="213"/>
        <v>0</v>
      </c>
      <c r="S509" s="95">
        <f t="shared" si="213"/>
        <v>0</v>
      </c>
      <c r="T509" s="95">
        <f t="shared" si="213"/>
        <v>0</v>
      </c>
      <c r="U509" s="95">
        <f t="shared" si="213"/>
        <v>0</v>
      </c>
      <c r="V509" s="95">
        <f t="shared" si="213"/>
        <v>0</v>
      </c>
      <c r="W509" s="95">
        <f t="shared" si="213"/>
        <v>0</v>
      </c>
      <c r="X509" s="95">
        <f t="shared" si="213"/>
        <v>0</v>
      </c>
      <c r="Y509" s="95">
        <f t="shared" si="213"/>
        <v>683117</v>
      </c>
    </row>
    <row r="510" spans="1:25" ht="21" customHeight="1">
      <c r="A510" s="428" t="s">
        <v>175</v>
      </c>
      <c r="B510" s="429"/>
      <c r="C510" s="99">
        <f>+C509+C392</f>
        <v>1486331</v>
      </c>
      <c r="D510" s="99">
        <f>+D509+D392</f>
        <v>736074.25</v>
      </c>
      <c r="E510" s="99">
        <f>+E509+E392</f>
        <v>177360</v>
      </c>
      <c r="F510" s="99">
        <f t="shared" ref="F510" si="214">+F509+F392</f>
        <v>0</v>
      </c>
      <c r="G510" s="99">
        <f>+G509+G392</f>
        <v>283950</v>
      </c>
      <c r="H510" s="99">
        <f t="shared" ref="H510" si="215">+H509+H392</f>
        <v>0</v>
      </c>
      <c r="I510" s="99">
        <f>+I509+I392</f>
        <v>156250</v>
      </c>
      <c r="J510" s="99">
        <f t="shared" ref="J510:K510" si="216">+J509+J392</f>
        <v>0</v>
      </c>
      <c r="K510" s="99">
        <f t="shared" si="216"/>
        <v>0</v>
      </c>
      <c r="L510" s="99">
        <f>+L509+L392</f>
        <v>514148</v>
      </c>
      <c r="M510" s="99">
        <f t="shared" ref="M510:O510" si="217">+M509+M392</f>
        <v>0</v>
      </c>
      <c r="N510" s="99">
        <f t="shared" si="217"/>
        <v>0</v>
      </c>
      <c r="O510" s="99">
        <f t="shared" si="217"/>
        <v>0</v>
      </c>
      <c r="P510" s="99">
        <f>+P509+P392</f>
        <v>255886</v>
      </c>
      <c r="Q510" s="99">
        <f t="shared" ref="Q510:Y510" si="218">+Q509+Q392</f>
        <v>0</v>
      </c>
      <c r="R510" s="99">
        <f t="shared" si="218"/>
        <v>0</v>
      </c>
      <c r="S510" s="99">
        <f t="shared" si="218"/>
        <v>0</v>
      </c>
      <c r="T510" s="99">
        <f t="shared" si="218"/>
        <v>0</v>
      </c>
      <c r="U510" s="99">
        <f t="shared" si="218"/>
        <v>0</v>
      </c>
      <c r="V510" s="99">
        <f t="shared" si="218"/>
        <v>0</v>
      </c>
      <c r="W510" s="99">
        <f t="shared" si="218"/>
        <v>0</v>
      </c>
      <c r="X510" s="99">
        <f t="shared" si="218"/>
        <v>0</v>
      </c>
      <c r="Y510" s="99">
        <f t="shared" si="218"/>
        <v>3609999.25</v>
      </c>
    </row>
    <row r="511" spans="1:25" ht="21" customHeight="1">
      <c r="A511" s="432" t="s">
        <v>388</v>
      </c>
      <c r="B511" s="433"/>
      <c r="C511" s="100"/>
      <c r="D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0"/>
      <c r="O511" s="167"/>
      <c r="P511" s="167"/>
      <c r="Q511" s="167"/>
      <c r="R511" s="100"/>
      <c r="S511" s="100"/>
      <c r="T511" s="100"/>
      <c r="U511" s="100"/>
      <c r="V511" s="100"/>
      <c r="W511" s="100"/>
      <c r="X511" s="100"/>
      <c r="Y511" s="101">
        <f t="shared" ref="Y511:Y516" si="219">SUM(C511:X511)</f>
        <v>0</v>
      </c>
    </row>
    <row r="512" spans="1:25" ht="21" customHeight="1">
      <c r="A512" s="93">
        <v>310100</v>
      </c>
      <c r="B512" s="68" t="s">
        <v>182</v>
      </c>
      <c r="C512" s="70"/>
      <c r="D512" s="70"/>
      <c r="E512" s="70"/>
      <c r="F512" s="70"/>
      <c r="G512" s="70"/>
      <c r="H512" s="70"/>
      <c r="I512" s="70"/>
      <c r="J512" s="70"/>
      <c r="K512" s="70"/>
      <c r="L512" s="70"/>
      <c r="M512" s="70"/>
      <c r="N512" s="70"/>
      <c r="O512" s="164"/>
      <c r="P512" s="164"/>
      <c r="Q512" s="164"/>
      <c r="R512" s="70"/>
      <c r="S512" s="70"/>
      <c r="T512" s="70"/>
      <c r="U512" s="70"/>
      <c r="V512" s="70"/>
      <c r="W512" s="70"/>
      <c r="X512" s="70"/>
      <c r="Y512" s="95">
        <f t="shared" si="219"/>
        <v>0</v>
      </c>
    </row>
    <row r="513" spans="1:27" ht="21" customHeight="1">
      <c r="A513" s="93">
        <v>310200</v>
      </c>
      <c r="B513" s="68" t="s">
        <v>183</v>
      </c>
      <c r="C513" s="70"/>
      <c r="D513" s="70"/>
      <c r="E513" s="70"/>
      <c r="F513" s="70"/>
      <c r="G513" s="70"/>
      <c r="H513" s="70"/>
      <c r="I513" s="70"/>
      <c r="J513" s="70"/>
      <c r="K513" s="70"/>
      <c r="L513" s="70"/>
      <c r="M513" s="70"/>
      <c r="N513" s="70"/>
      <c r="O513" s="164"/>
      <c r="P513" s="164"/>
      <c r="Q513" s="164"/>
      <c r="R513" s="70"/>
      <c r="S513" s="70"/>
      <c r="T513" s="70"/>
      <c r="U513" s="70"/>
      <c r="V513" s="70"/>
      <c r="W513" s="70"/>
      <c r="X513" s="70"/>
      <c r="Y513" s="95">
        <f t="shared" si="219"/>
        <v>0</v>
      </c>
    </row>
    <row r="514" spans="1:27" ht="21" customHeight="1">
      <c r="A514" s="93">
        <v>310300</v>
      </c>
      <c r="B514" s="68" t="s">
        <v>184</v>
      </c>
      <c r="C514" s="70"/>
      <c r="D514" s="70"/>
      <c r="E514" s="70"/>
      <c r="F514" s="70"/>
      <c r="G514" s="70"/>
      <c r="H514" s="70"/>
      <c r="I514" s="70"/>
      <c r="J514" s="70"/>
      <c r="K514" s="70"/>
      <c r="L514" s="70"/>
      <c r="M514" s="70"/>
      <c r="N514" s="70"/>
      <c r="O514" s="164"/>
      <c r="P514" s="164"/>
      <c r="Q514" s="164"/>
      <c r="R514" s="70"/>
      <c r="S514" s="70"/>
      <c r="T514" s="70"/>
      <c r="U514" s="70"/>
      <c r="V514" s="70"/>
      <c r="W514" s="70"/>
      <c r="X514" s="70"/>
      <c r="Y514" s="95">
        <f t="shared" si="219"/>
        <v>0</v>
      </c>
    </row>
    <row r="515" spans="1:27" ht="21" customHeight="1">
      <c r="A515" s="93">
        <v>310400</v>
      </c>
      <c r="B515" s="68" t="s">
        <v>185</v>
      </c>
      <c r="C515" s="70">
        <v>11800</v>
      </c>
      <c r="D515" s="70">
        <v>4600</v>
      </c>
      <c r="E515" s="70">
        <v>2500</v>
      </c>
      <c r="F515" s="70"/>
      <c r="G515" s="70">
        <v>3000</v>
      </c>
      <c r="H515" s="70"/>
      <c r="I515" s="70"/>
      <c r="J515" s="70"/>
      <c r="K515" s="70"/>
      <c r="L515" s="70">
        <v>4800</v>
      </c>
      <c r="M515" s="70"/>
      <c r="N515" s="70"/>
      <c r="O515" s="164"/>
      <c r="P515" s="164">
        <v>2300</v>
      </c>
      <c r="Q515" s="164"/>
      <c r="R515" s="70"/>
      <c r="S515" s="70"/>
      <c r="T515" s="70"/>
      <c r="U515" s="70"/>
      <c r="V515" s="70"/>
      <c r="W515" s="70"/>
      <c r="X515" s="70"/>
      <c r="Y515" s="95">
        <f t="shared" si="219"/>
        <v>29000</v>
      </c>
    </row>
    <row r="516" spans="1:27" ht="21" customHeight="1">
      <c r="A516" s="93">
        <v>310500</v>
      </c>
      <c r="B516" s="68" t="s">
        <v>186</v>
      </c>
      <c r="C516" s="70">
        <v>6970</v>
      </c>
      <c r="D516" s="70"/>
      <c r="E516" s="70"/>
      <c r="F516" s="70"/>
      <c r="G516" s="70"/>
      <c r="H516" s="70"/>
      <c r="I516" s="70"/>
      <c r="J516" s="70"/>
      <c r="K516" s="70"/>
      <c r="L516" s="70"/>
      <c r="M516" s="70"/>
      <c r="N516" s="70"/>
      <c r="O516" s="164"/>
      <c r="P516" s="164"/>
      <c r="Q516" s="164"/>
      <c r="R516" s="70"/>
      <c r="S516" s="70"/>
      <c r="T516" s="70"/>
      <c r="U516" s="70"/>
      <c r="V516" s="70"/>
      <c r="W516" s="70"/>
      <c r="X516" s="70"/>
      <c r="Y516" s="95">
        <f t="shared" si="219"/>
        <v>6970</v>
      </c>
    </row>
    <row r="517" spans="1:27" ht="21" customHeight="1">
      <c r="A517" s="96">
        <v>310600</v>
      </c>
      <c r="B517" s="69" t="s">
        <v>187</v>
      </c>
      <c r="C517" s="70"/>
      <c r="D517" s="70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165"/>
      <c r="P517" s="165"/>
      <c r="Q517" s="165"/>
      <c r="R517" s="76"/>
      <c r="S517" s="76"/>
      <c r="T517" s="76"/>
      <c r="U517" s="76"/>
      <c r="V517" s="76"/>
      <c r="W517" s="76"/>
      <c r="X517" s="76"/>
      <c r="Y517" s="98">
        <f>SUM(C517:X517)</f>
        <v>0</v>
      </c>
    </row>
    <row r="518" spans="1:27" ht="21" customHeight="1">
      <c r="A518" s="426" t="s">
        <v>174</v>
      </c>
      <c r="B518" s="427"/>
      <c r="C518" s="95">
        <f t="shared" ref="C518:K518" si="220">SUM(C512:C517)</f>
        <v>18770</v>
      </c>
      <c r="D518" s="95">
        <f t="shared" si="220"/>
        <v>4600</v>
      </c>
      <c r="E518" s="95">
        <f t="shared" si="220"/>
        <v>2500</v>
      </c>
      <c r="F518" s="95">
        <f t="shared" si="220"/>
        <v>0</v>
      </c>
      <c r="G518" s="95">
        <f t="shared" si="220"/>
        <v>3000</v>
      </c>
      <c r="H518" s="95">
        <f t="shared" si="220"/>
        <v>0</v>
      </c>
      <c r="I518" s="95">
        <f t="shared" si="220"/>
        <v>0</v>
      </c>
      <c r="J518" s="95">
        <f t="shared" si="220"/>
        <v>0</v>
      </c>
      <c r="K518" s="95">
        <f t="shared" si="220"/>
        <v>0</v>
      </c>
      <c r="L518" s="95">
        <f>SUM(L512:L517)</f>
        <v>4800</v>
      </c>
      <c r="M518" s="95">
        <f>SUM(M512:M517)</f>
        <v>0</v>
      </c>
      <c r="N518" s="95">
        <f>SUM(N512:N517)</f>
        <v>0</v>
      </c>
      <c r="O518" s="95">
        <f t="shared" ref="O518:V518" si="221">SUM(O512:O517)</f>
        <v>0</v>
      </c>
      <c r="P518" s="95">
        <f t="shared" si="221"/>
        <v>2300</v>
      </c>
      <c r="Q518" s="95">
        <f t="shared" si="221"/>
        <v>0</v>
      </c>
      <c r="R518" s="95">
        <f t="shared" si="221"/>
        <v>0</v>
      </c>
      <c r="S518" s="95">
        <f t="shared" si="221"/>
        <v>0</v>
      </c>
      <c r="T518" s="95">
        <f t="shared" si="221"/>
        <v>0</v>
      </c>
      <c r="U518" s="95">
        <f t="shared" si="221"/>
        <v>0</v>
      </c>
      <c r="V518" s="95">
        <f t="shared" si="221"/>
        <v>0</v>
      </c>
      <c r="W518" s="95">
        <f>SUM(W512:W517)</f>
        <v>0</v>
      </c>
      <c r="X518" s="95">
        <f>SUM(X512:X517)</f>
        <v>0</v>
      </c>
      <c r="Y518" s="95">
        <f>SUM(C518:X518)</f>
        <v>35970</v>
      </c>
    </row>
    <row r="519" spans="1:27" ht="21" customHeight="1">
      <c r="A519" s="428" t="s">
        <v>175</v>
      </c>
      <c r="B519" s="429"/>
      <c r="C519" s="99">
        <f>+C518+C401</f>
        <v>65423.25</v>
      </c>
      <c r="D519" s="99">
        <f t="shared" ref="D519:W519" si="222">+D518+D401</f>
        <v>18400</v>
      </c>
      <c r="E519" s="99">
        <f t="shared" si="222"/>
        <v>10000</v>
      </c>
      <c r="F519" s="99">
        <f t="shared" si="222"/>
        <v>0</v>
      </c>
      <c r="G519" s="99">
        <f t="shared" si="222"/>
        <v>12000</v>
      </c>
      <c r="H519" s="99">
        <f t="shared" si="222"/>
        <v>0</v>
      </c>
      <c r="I519" s="99">
        <f t="shared" si="222"/>
        <v>0</v>
      </c>
      <c r="J519" s="99">
        <f t="shared" si="222"/>
        <v>0</v>
      </c>
      <c r="K519" s="99">
        <f t="shared" si="222"/>
        <v>0</v>
      </c>
      <c r="L519" s="99">
        <f t="shared" si="222"/>
        <v>22500</v>
      </c>
      <c r="M519" s="99">
        <f t="shared" si="222"/>
        <v>0</v>
      </c>
      <c r="N519" s="99">
        <f t="shared" si="222"/>
        <v>0</v>
      </c>
      <c r="O519" s="99">
        <f t="shared" si="222"/>
        <v>0</v>
      </c>
      <c r="P519" s="99">
        <f t="shared" si="222"/>
        <v>9200</v>
      </c>
      <c r="Q519" s="99">
        <f t="shared" si="222"/>
        <v>0</v>
      </c>
      <c r="R519" s="99">
        <f t="shared" si="222"/>
        <v>0</v>
      </c>
      <c r="S519" s="99">
        <f t="shared" si="222"/>
        <v>0</v>
      </c>
      <c r="T519" s="99">
        <f t="shared" si="222"/>
        <v>0</v>
      </c>
      <c r="U519" s="99">
        <f t="shared" si="222"/>
        <v>0</v>
      </c>
      <c r="V519" s="99">
        <f t="shared" si="222"/>
        <v>0</v>
      </c>
      <c r="W519" s="99">
        <f t="shared" si="222"/>
        <v>0</v>
      </c>
      <c r="X519" s="99">
        <f>+X518+X401</f>
        <v>0</v>
      </c>
      <c r="Y519" s="99">
        <f>+Y518+Y401</f>
        <v>137523.25</v>
      </c>
    </row>
    <row r="520" spans="1:27" ht="21" customHeight="1">
      <c r="A520" s="432" t="s">
        <v>389</v>
      </c>
      <c r="B520" s="433"/>
      <c r="C520" s="100"/>
      <c r="D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0"/>
      <c r="O520" s="167"/>
      <c r="P520" s="167"/>
      <c r="Q520" s="167"/>
      <c r="R520" s="100"/>
      <c r="S520" s="100"/>
      <c r="T520" s="100"/>
      <c r="U520" s="100"/>
      <c r="V520" s="100"/>
      <c r="W520" s="100"/>
      <c r="X520" s="100"/>
      <c r="Y520" s="101">
        <f t="shared" ref="Y520" si="223">SUM(C520:X520)</f>
        <v>0</v>
      </c>
    </row>
    <row r="521" spans="1:27" ht="21" customHeight="1">
      <c r="A521" s="93">
        <v>320100</v>
      </c>
      <c r="B521" s="68" t="s">
        <v>188</v>
      </c>
      <c r="C521" s="70">
        <f>7000+7000+7000+3900+4800+3340</f>
        <v>33040</v>
      </c>
      <c r="D521" s="70"/>
      <c r="E521" s="70"/>
      <c r="F521" s="70"/>
      <c r="G521" s="70">
        <f>6000+7000+7000+4500+4800</f>
        <v>29300</v>
      </c>
      <c r="H521" s="70"/>
      <c r="I521" s="70"/>
      <c r="J521" s="70">
        <v>7000</v>
      </c>
      <c r="K521" s="70"/>
      <c r="L521" s="70"/>
      <c r="M521" s="70"/>
      <c r="N521" s="70">
        <f>7000+7000+7000+7000+10758.75</f>
        <v>38758.75</v>
      </c>
      <c r="O521" s="164"/>
      <c r="P521" s="164"/>
      <c r="Q521" s="164">
        <v>4030</v>
      </c>
      <c r="R521" s="70"/>
      <c r="S521" s="70"/>
      <c r="T521" s="70"/>
      <c r="U521" s="70"/>
      <c r="V521" s="70"/>
      <c r="W521" s="70">
        <v>8000</v>
      </c>
      <c r="X521" s="70"/>
      <c r="Y521" s="95">
        <f>SUM(C521:X521)</f>
        <v>120128.75</v>
      </c>
    </row>
    <row r="522" spans="1:27" ht="21" customHeight="1">
      <c r="A522" s="93">
        <v>320200</v>
      </c>
      <c r="B522" s="68" t="s">
        <v>189</v>
      </c>
      <c r="C522" s="70"/>
      <c r="D522" s="70"/>
      <c r="E522" s="70"/>
      <c r="F522" s="70"/>
      <c r="G522" s="70"/>
      <c r="H522" s="70"/>
      <c r="I522" s="70"/>
      <c r="J522" s="70"/>
      <c r="K522" s="70"/>
      <c r="L522" s="70"/>
      <c r="M522" s="70"/>
      <c r="N522" s="70"/>
      <c r="O522" s="164"/>
      <c r="P522" s="164"/>
      <c r="Q522" s="164"/>
      <c r="R522" s="70"/>
      <c r="S522" s="70"/>
      <c r="T522" s="70"/>
      <c r="U522" s="70"/>
      <c r="V522" s="70"/>
      <c r="W522" s="70"/>
      <c r="X522" s="70"/>
      <c r="Y522" s="95">
        <f>SUM(C522:X522)</f>
        <v>0</v>
      </c>
    </row>
    <row r="523" spans="1:27" ht="21" customHeight="1">
      <c r="A523" s="93">
        <v>320300</v>
      </c>
      <c r="B523" s="68" t="s">
        <v>190</v>
      </c>
      <c r="C523" s="70">
        <f>7600.5+744+7777.55+4408</f>
        <v>20530.05</v>
      </c>
      <c r="D523" s="70">
        <v>752</v>
      </c>
      <c r="E523" s="70"/>
      <c r="F523" s="70">
        <f>1300+6145</f>
        <v>7445</v>
      </c>
      <c r="G523" s="70">
        <v>7588</v>
      </c>
      <c r="H523" s="70">
        <f>132800+24900+20000+147200+27600+40000</f>
        <v>392500</v>
      </c>
      <c r="I523" s="70"/>
      <c r="J523" s="70"/>
      <c r="K523" s="70"/>
      <c r="L523" s="70"/>
      <c r="M523" s="70"/>
      <c r="N523" s="70"/>
      <c r="O523" s="164"/>
      <c r="P523" s="164"/>
      <c r="Q523" s="164">
        <f>1620+18000</f>
        <v>19620</v>
      </c>
      <c r="R523" s="70"/>
      <c r="S523" s="70">
        <v>95250.33</v>
      </c>
      <c r="T523" s="70"/>
      <c r="U523" s="70"/>
      <c r="V523" s="70"/>
      <c r="W523" s="70"/>
      <c r="X523" s="70"/>
      <c r="Y523" s="95">
        <f>SUM(C523:X523)</f>
        <v>543685.38</v>
      </c>
    </row>
    <row r="524" spans="1:27" ht="21" customHeight="1">
      <c r="A524" s="96">
        <v>320400</v>
      </c>
      <c r="B524" s="69" t="s">
        <v>191</v>
      </c>
      <c r="C524" s="76">
        <f>5210+5099.62+1300.8+11000+12250</f>
        <v>34860.42</v>
      </c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165"/>
      <c r="P524" s="165"/>
      <c r="Q524" s="165"/>
      <c r="R524" s="76"/>
      <c r="S524" s="76"/>
      <c r="T524" s="76"/>
      <c r="U524" s="76"/>
      <c r="V524" s="76"/>
      <c r="W524" s="76"/>
      <c r="X524" s="76"/>
      <c r="Y524" s="95">
        <f>SUM(C524:X524)</f>
        <v>34860.42</v>
      </c>
    </row>
    <row r="525" spans="1:27" ht="21" customHeight="1">
      <c r="A525" s="426" t="s">
        <v>174</v>
      </c>
      <c r="B525" s="427"/>
      <c r="C525" s="95">
        <f>SUM(C521:C524)</f>
        <v>88430.47</v>
      </c>
      <c r="D525" s="95">
        <f t="shared" ref="D525:V525" si="224">SUM(D521:D524)</f>
        <v>752</v>
      </c>
      <c r="E525" s="95">
        <f t="shared" si="224"/>
        <v>0</v>
      </c>
      <c r="F525" s="95">
        <f t="shared" si="224"/>
        <v>7445</v>
      </c>
      <c r="G525" s="95">
        <f t="shared" si="224"/>
        <v>36888</v>
      </c>
      <c r="H525" s="95">
        <f t="shared" si="224"/>
        <v>392500</v>
      </c>
      <c r="I525" s="95">
        <f t="shared" si="224"/>
        <v>0</v>
      </c>
      <c r="J525" s="95">
        <f t="shared" si="224"/>
        <v>7000</v>
      </c>
      <c r="K525" s="95">
        <f t="shared" si="224"/>
        <v>0</v>
      </c>
      <c r="L525" s="95">
        <f t="shared" si="224"/>
        <v>0</v>
      </c>
      <c r="M525" s="95">
        <f t="shared" si="224"/>
        <v>0</v>
      </c>
      <c r="N525" s="95">
        <f t="shared" si="224"/>
        <v>38758.75</v>
      </c>
      <c r="O525" s="95">
        <f t="shared" si="224"/>
        <v>0</v>
      </c>
      <c r="P525" s="95">
        <f t="shared" si="224"/>
        <v>0</v>
      </c>
      <c r="Q525" s="95">
        <f t="shared" si="224"/>
        <v>23650</v>
      </c>
      <c r="R525" s="95">
        <f t="shared" si="224"/>
        <v>0</v>
      </c>
      <c r="S525" s="95">
        <f t="shared" si="224"/>
        <v>95250.33</v>
      </c>
      <c r="T525" s="95">
        <f t="shared" si="224"/>
        <v>0</v>
      </c>
      <c r="U525" s="95">
        <f t="shared" si="224"/>
        <v>0</v>
      </c>
      <c r="V525" s="95">
        <f t="shared" si="224"/>
        <v>0</v>
      </c>
      <c r="W525" s="95">
        <f>SUM(W521:W524)</f>
        <v>8000</v>
      </c>
      <c r="X525" s="95">
        <f t="shared" ref="X525" si="225">SUM(X521:X524)</f>
        <v>0</v>
      </c>
      <c r="Y525" s="95">
        <f>SUM(Y521:Y524)</f>
        <v>698674.55</v>
      </c>
      <c r="Z525" s="91">
        <f>685174.55+13500</f>
        <v>698674.55</v>
      </c>
      <c r="AA525" s="363">
        <f>+Z525-Y525</f>
        <v>0</v>
      </c>
    </row>
    <row r="526" spans="1:27" ht="21" customHeight="1">
      <c r="A526" s="428" t="s">
        <v>175</v>
      </c>
      <c r="B526" s="429"/>
      <c r="C526" s="99">
        <f>+C525+C408</f>
        <v>353077.61</v>
      </c>
      <c r="D526" s="99">
        <f t="shared" ref="D526:Y526" si="226">+D525+D408</f>
        <v>13952</v>
      </c>
      <c r="E526" s="99">
        <f t="shared" si="226"/>
        <v>700</v>
      </c>
      <c r="F526" s="99">
        <f t="shared" si="226"/>
        <v>17645</v>
      </c>
      <c r="G526" s="99">
        <f t="shared" si="226"/>
        <v>124252</v>
      </c>
      <c r="H526" s="99">
        <f t="shared" si="226"/>
        <v>602500</v>
      </c>
      <c r="I526" s="99">
        <f t="shared" si="226"/>
        <v>0</v>
      </c>
      <c r="J526" s="99">
        <f t="shared" si="226"/>
        <v>28000</v>
      </c>
      <c r="K526" s="99">
        <f t="shared" si="226"/>
        <v>0</v>
      </c>
      <c r="L526" s="99">
        <f t="shared" si="226"/>
        <v>16289</v>
      </c>
      <c r="M526" s="99">
        <f t="shared" si="226"/>
        <v>0</v>
      </c>
      <c r="N526" s="99">
        <f t="shared" si="226"/>
        <v>234530.05</v>
      </c>
      <c r="O526" s="99">
        <f t="shared" si="226"/>
        <v>0</v>
      </c>
      <c r="P526" s="99">
        <f t="shared" si="226"/>
        <v>4030</v>
      </c>
      <c r="Q526" s="99">
        <f t="shared" si="226"/>
        <v>83770</v>
      </c>
      <c r="R526" s="99">
        <f t="shared" si="226"/>
        <v>12200</v>
      </c>
      <c r="S526" s="99">
        <f t="shared" si="226"/>
        <v>120530.33</v>
      </c>
      <c r="T526" s="99">
        <f t="shared" si="226"/>
        <v>0</v>
      </c>
      <c r="U526" s="99">
        <f t="shared" si="226"/>
        <v>0</v>
      </c>
      <c r="V526" s="99">
        <f t="shared" si="226"/>
        <v>0</v>
      </c>
      <c r="W526" s="99">
        <f t="shared" si="226"/>
        <v>32000</v>
      </c>
      <c r="X526" s="99">
        <f t="shared" si="226"/>
        <v>0</v>
      </c>
      <c r="Y526" s="99">
        <f t="shared" si="226"/>
        <v>1643475.99</v>
      </c>
      <c r="Z526" s="91">
        <f>1643475.99-Y526</f>
        <v>0</v>
      </c>
    </row>
    <row r="527" spans="1:27" ht="21" customHeight="1">
      <c r="A527" s="432" t="s">
        <v>390</v>
      </c>
      <c r="B527" s="433"/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0"/>
      <c r="O527" s="167"/>
      <c r="P527" s="167"/>
      <c r="Q527" s="167"/>
      <c r="R527" s="100"/>
      <c r="S527" s="100"/>
      <c r="T527" s="100"/>
      <c r="U527" s="100"/>
      <c r="V527" s="100"/>
      <c r="W527" s="100"/>
      <c r="X527" s="100"/>
      <c r="Y527" s="101">
        <f>SUM(C527:X527)</f>
        <v>0</v>
      </c>
    </row>
    <row r="528" spans="1:27" ht="21" customHeight="1">
      <c r="A528" s="93">
        <v>330100</v>
      </c>
      <c r="B528" s="68" t="s">
        <v>192</v>
      </c>
      <c r="C528" s="70">
        <f>4770+6075</f>
        <v>10845</v>
      </c>
      <c r="D528" s="70"/>
      <c r="E528" s="70"/>
      <c r="F528" s="70"/>
      <c r="G528" s="70"/>
      <c r="H528" s="70"/>
      <c r="I528" s="70"/>
      <c r="J528" s="70"/>
      <c r="K528" s="70"/>
      <c r="L528" s="70">
        <v>6748</v>
      </c>
      <c r="M528" s="70"/>
      <c r="N528" s="70"/>
      <c r="O528" s="164"/>
      <c r="P528" s="164"/>
      <c r="Q528" s="164"/>
      <c r="R528" s="70"/>
      <c r="S528" s="70"/>
      <c r="T528" s="70"/>
      <c r="U528" s="70"/>
      <c r="V528" s="70"/>
      <c r="W528" s="70"/>
      <c r="X528" s="70"/>
      <c r="Y528" s="95">
        <f>SUM(C528:X528)</f>
        <v>17593</v>
      </c>
    </row>
    <row r="529" spans="1:26" ht="21" customHeight="1">
      <c r="A529" s="93">
        <v>330200</v>
      </c>
      <c r="B529" s="68" t="s">
        <v>193</v>
      </c>
      <c r="C529" s="70">
        <v>16238</v>
      </c>
      <c r="D529" s="70"/>
      <c r="E529" s="70"/>
      <c r="F529" s="70"/>
      <c r="G529" s="70"/>
      <c r="H529" s="70"/>
      <c r="I529" s="70"/>
      <c r="J529" s="70"/>
      <c r="K529" s="70"/>
      <c r="L529" s="70"/>
      <c r="M529" s="70">
        <v>2950</v>
      </c>
      <c r="N529" s="70"/>
      <c r="O529" s="164"/>
      <c r="P529" s="164"/>
      <c r="Q529" s="164"/>
      <c r="R529" s="70"/>
      <c r="S529" s="70"/>
      <c r="T529" s="70"/>
      <c r="U529" s="70"/>
      <c r="V529" s="70"/>
      <c r="W529" s="70"/>
      <c r="X529" s="70"/>
      <c r="Y529" s="95">
        <f t="shared" ref="Y529:Y533" si="227">SUM(C529:X529)</f>
        <v>19188</v>
      </c>
    </row>
    <row r="530" spans="1:26" ht="21" customHeight="1">
      <c r="A530" s="93">
        <v>330300</v>
      </c>
      <c r="B530" s="68" t="s">
        <v>235</v>
      </c>
      <c r="C530" s="70">
        <f>930+1370+850</f>
        <v>3150</v>
      </c>
      <c r="D530" s="70"/>
      <c r="E530" s="70"/>
      <c r="F530" s="70"/>
      <c r="G530" s="70"/>
      <c r="H530" s="70"/>
      <c r="I530" s="70"/>
      <c r="J530" s="70"/>
      <c r="K530" s="70"/>
      <c r="L530" s="70"/>
      <c r="M530" s="70"/>
      <c r="N530" s="70"/>
      <c r="O530" s="164"/>
      <c r="P530" s="164"/>
      <c r="Q530" s="164"/>
      <c r="R530" s="70"/>
      <c r="S530" s="70"/>
      <c r="T530" s="70"/>
      <c r="U530" s="70"/>
      <c r="V530" s="70"/>
      <c r="W530" s="70"/>
      <c r="X530" s="70"/>
      <c r="Y530" s="95">
        <f t="shared" si="227"/>
        <v>3150</v>
      </c>
    </row>
    <row r="531" spans="1:26" ht="21" customHeight="1">
      <c r="A531" s="93">
        <v>330400</v>
      </c>
      <c r="B531" s="68" t="s">
        <v>210</v>
      </c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70"/>
      <c r="N531" s="70"/>
      <c r="O531" s="164"/>
      <c r="P531" s="164"/>
      <c r="Q531" s="164"/>
      <c r="R531" s="70"/>
      <c r="S531" s="70"/>
      <c r="T531" s="70"/>
      <c r="U531" s="70"/>
      <c r="V531" s="70"/>
      <c r="W531" s="70"/>
      <c r="X531" s="70"/>
      <c r="Y531" s="95">
        <f t="shared" si="227"/>
        <v>0</v>
      </c>
    </row>
    <row r="532" spans="1:26" ht="21" customHeight="1">
      <c r="A532" s="93">
        <v>330600</v>
      </c>
      <c r="B532" s="68" t="s">
        <v>194</v>
      </c>
      <c r="C532" s="70">
        <v>770</v>
      </c>
      <c r="D532" s="70"/>
      <c r="E532" s="70"/>
      <c r="F532" s="70"/>
      <c r="G532" s="70"/>
      <c r="H532" s="70"/>
      <c r="I532" s="70"/>
      <c r="J532" s="70"/>
      <c r="K532" s="70"/>
      <c r="L532" s="70"/>
      <c r="M532" s="70"/>
      <c r="N532" s="70"/>
      <c r="O532" s="164"/>
      <c r="P532" s="164"/>
      <c r="Q532" s="164"/>
      <c r="R532" s="70"/>
      <c r="S532" s="70"/>
      <c r="T532" s="70"/>
      <c r="U532" s="70"/>
      <c r="V532" s="70"/>
      <c r="W532" s="70">
        <f>11070+11433</f>
        <v>22503</v>
      </c>
      <c r="X532" s="70"/>
      <c r="Y532" s="95">
        <f t="shared" si="227"/>
        <v>23273</v>
      </c>
    </row>
    <row r="533" spans="1:26" ht="21" customHeight="1">
      <c r="A533" s="93">
        <v>330700</v>
      </c>
      <c r="B533" s="68" t="s">
        <v>310</v>
      </c>
      <c r="C533" s="70"/>
      <c r="D533" s="70"/>
      <c r="E533" s="70"/>
      <c r="F533" s="70"/>
      <c r="G533" s="70"/>
      <c r="H533" s="70"/>
      <c r="I533" s="70"/>
      <c r="J533" s="70"/>
      <c r="K533" s="70"/>
      <c r="L533" s="70"/>
      <c r="M533" s="70"/>
      <c r="N533" s="70"/>
      <c r="O533" s="164"/>
      <c r="P533" s="164"/>
      <c r="Q533" s="164"/>
      <c r="R533" s="70"/>
      <c r="S533" s="70"/>
      <c r="T533" s="70"/>
      <c r="U533" s="70"/>
      <c r="V533" s="70"/>
      <c r="W533" s="70"/>
      <c r="X533" s="70"/>
      <c r="Y533" s="95">
        <f t="shared" si="227"/>
        <v>0</v>
      </c>
    </row>
    <row r="534" spans="1:26" ht="21" customHeight="1">
      <c r="A534" s="93">
        <v>330800</v>
      </c>
      <c r="B534" s="68" t="s">
        <v>195</v>
      </c>
      <c r="C534" s="70">
        <v>21915.34</v>
      </c>
      <c r="D534" s="70">
        <v>186.68</v>
      </c>
      <c r="E534" s="70"/>
      <c r="F534" s="70"/>
      <c r="G534" s="70"/>
      <c r="H534" s="70"/>
      <c r="I534" s="70"/>
      <c r="J534" s="70">
        <v>5022.5</v>
      </c>
      <c r="K534" s="70"/>
      <c r="L534" s="70">
        <v>210.84</v>
      </c>
      <c r="M534" s="70">
        <v>5195.2</v>
      </c>
      <c r="N534" s="70">
        <v>22183.5</v>
      </c>
      <c r="O534" s="164"/>
      <c r="P534" s="164"/>
      <c r="Q534" s="164"/>
      <c r="R534" s="70"/>
      <c r="S534" s="70"/>
      <c r="T534" s="70"/>
      <c r="U534" s="70"/>
      <c r="V534" s="70"/>
      <c r="W534" s="70"/>
      <c r="X534" s="70"/>
      <c r="Y534" s="95">
        <f>SUM(C534:X534)</f>
        <v>54714.06</v>
      </c>
    </row>
    <row r="535" spans="1:26" ht="21" customHeight="1">
      <c r="A535" s="93">
        <v>330900</v>
      </c>
      <c r="B535" s="68" t="s">
        <v>197</v>
      </c>
      <c r="C535" s="70"/>
      <c r="D535" s="70"/>
      <c r="E535" s="70"/>
      <c r="F535" s="70"/>
      <c r="G535" s="70"/>
      <c r="H535" s="70"/>
      <c r="I535" s="70"/>
      <c r="J535" s="70"/>
      <c r="K535" s="70"/>
      <c r="L535" s="70"/>
      <c r="M535" s="70"/>
      <c r="N535" s="70"/>
      <c r="O535" s="164"/>
      <c r="P535" s="164"/>
      <c r="Q535" s="164"/>
      <c r="R535" s="70"/>
      <c r="S535" s="70"/>
      <c r="T535" s="70"/>
      <c r="U535" s="70"/>
      <c r="V535" s="70"/>
      <c r="W535" s="70"/>
      <c r="X535" s="70"/>
      <c r="Y535" s="95">
        <f t="shared" ref="Y535" si="228">SUM(C535:X535)</f>
        <v>0</v>
      </c>
    </row>
    <row r="536" spans="1:26" ht="21" customHeight="1">
      <c r="A536" s="435" t="s">
        <v>139</v>
      </c>
      <c r="B536" s="435"/>
      <c r="C536" s="434" t="s">
        <v>141</v>
      </c>
      <c r="D536" s="434"/>
      <c r="E536" s="437" t="s">
        <v>144</v>
      </c>
      <c r="F536" s="438"/>
      <c r="G536" s="434" t="s">
        <v>146</v>
      </c>
      <c r="H536" s="435"/>
      <c r="I536" s="437" t="s">
        <v>160</v>
      </c>
      <c r="J536" s="438"/>
      <c r="K536" s="370" t="s">
        <v>161</v>
      </c>
      <c r="L536" s="437" t="s">
        <v>162</v>
      </c>
      <c r="M536" s="439"/>
      <c r="N536" s="439"/>
      <c r="O536" s="438"/>
      <c r="P536" s="437" t="s">
        <v>163</v>
      </c>
      <c r="Q536" s="438"/>
      <c r="R536" s="437" t="s">
        <v>164</v>
      </c>
      <c r="S536" s="439"/>
      <c r="T536" s="438"/>
      <c r="U536" s="434" t="s">
        <v>165</v>
      </c>
      <c r="V536" s="435"/>
      <c r="W536" s="370" t="s">
        <v>212</v>
      </c>
      <c r="X536" s="370" t="s">
        <v>166</v>
      </c>
      <c r="Y536" s="436" t="s">
        <v>17</v>
      </c>
    </row>
    <row r="537" spans="1:26" ht="21" customHeight="1">
      <c r="A537" s="435" t="s">
        <v>140</v>
      </c>
      <c r="B537" s="435"/>
      <c r="C537" s="370" t="s">
        <v>142</v>
      </c>
      <c r="D537" s="370" t="s">
        <v>143</v>
      </c>
      <c r="E537" s="370" t="s">
        <v>145</v>
      </c>
      <c r="F537" s="370" t="s">
        <v>214</v>
      </c>
      <c r="G537" s="370" t="s">
        <v>147</v>
      </c>
      <c r="H537" s="370" t="s">
        <v>148</v>
      </c>
      <c r="I537" s="370" t="s">
        <v>149</v>
      </c>
      <c r="J537" s="370" t="s">
        <v>150</v>
      </c>
      <c r="K537" s="370" t="s">
        <v>151</v>
      </c>
      <c r="L537" s="370" t="s">
        <v>152</v>
      </c>
      <c r="M537" s="370" t="s">
        <v>153</v>
      </c>
      <c r="N537" s="370" t="s">
        <v>238</v>
      </c>
      <c r="O537" s="370" t="s">
        <v>331</v>
      </c>
      <c r="P537" s="371" t="s">
        <v>303</v>
      </c>
      <c r="Q537" s="371" t="s">
        <v>154</v>
      </c>
      <c r="R537" s="370" t="s">
        <v>155</v>
      </c>
      <c r="S537" s="370" t="s">
        <v>156</v>
      </c>
      <c r="T537" s="370" t="s">
        <v>216</v>
      </c>
      <c r="U537" s="370" t="s">
        <v>157</v>
      </c>
      <c r="V537" s="370" t="s">
        <v>158</v>
      </c>
      <c r="W537" s="370" t="s">
        <v>213</v>
      </c>
      <c r="X537" s="370" t="s">
        <v>159</v>
      </c>
      <c r="Y537" s="436"/>
    </row>
    <row r="538" spans="1:26" ht="21" customHeight="1">
      <c r="A538" s="224">
        <v>331000</v>
      </c>
      <c r="B538" s="227" t="s">
        <v>300</v>
      </c>
      <c r="C538" s="228"/>
      <c r="D538" s="225"/>
      <c r="E538" s="225"/>
      <c r="F538" s="225"/>
      <c r="G538" s="225"/>
      <c r="H538" s="225"/>
      <c r="I538" s="225"/>
      <c r="J538" s="225"/>
      <c r="K538" s="225"/>
      <c r="L538" s="225"/>
      <c r="M538" s="225"/>
      <c r="N538" s="225"/>
      <c r="O538" s="226"/>
      <c r="P538" s="226"/>
      <c r="Q538" s="226"/>
      <c r="R538" s="225"/>
      <c r="S538" s="225"/>
      <c r="T538" s="225"/>
      <c r="U538" s="225"/>
      <c r="V538" s="225"/>
      <c r="W538" s="225"/>
      <c r="X538" s="225"/>
      <c r="Y538" s="95">
        <f>SUM(C538:X538)</f>
        <v>0</v>
      </c>
    </row>
    <row r="539" spans="1:26" ht="21" customHeight="1">
      <c r="A539" s="93">
        <v>331200</v>
      </c>
      <c r="B539" s="68" t="s">
        <v>198</v>
      </c>
      <c r="C539" s="70"/>
      <c r="D539" s="70"/>
      <c r="E539" s="70"/>
      <c r="F539" s="70"/>
      <c r="G539" s="70"/>
      <c r="H539" s="70"/>
      <c r="I539" s="70"/>
      <c r="J539" s="70"/>
      <c r="K539" s="70"/>
      <c r="L539" s="70"/>
      <c r="M539" s="70"/>
      <c r="N539" s="70"/>
      <c r="O539" s="164"/>
      <c r="P539" s="164"/>
      <c r="Q539" s="164"/>
      <c r="R539" s="70"/>
      <c r="S539" s="70"/>
      <c r="T539" s="70"/>
      <c r="U539" s="70"/>
      <c r="V539" s="70"/>
      <c r="W539" s="70"/>
      <c r="X539" s="70"/>
      <c r="Y539" s="95">
        <f>SUM(C539:X539)</f>
        <v>0</v>
      </c>
    </row>
    <row r="540" spans="1:26" ht="21" customHeight="1">
      <c r="A540" s="93">
        <v>331300</v>
      </c>
      <c r="B540" s="68" t="s">
        <v>199</v>
      </c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164"/>
      <c r="P540" s="164"/>
      <c r="Q540" s="164"/>
      <c r="R540" s="70"/>
      <c r="S540" s="70"/>
      <c r="T540" s="70"/>
      <c r="U540" s="70"/>
      <c r="V540" s="70"/>
      <c r="W540" s="70"/>
      <c r="X540" s="70"/>
      <c r="Y540" s="95">
        <f t="shared" ref="Y540:Y543" si="229">SUM(C540:X540)</f>
        <v>0</v>
      </c>
    </row>
    <row r="541" spans="1:26" ht="21" customHeight="1">
      <c r="A541" s="93">
        <v>331400</v>
      </c>
      <c r="B541" s="68" t="s">
        <v>196</v>
      </c>
      <c r="C541" s="70">
        <v>14440</v>
      </c>
      <c r="D541" s="70"/>
      <c r="E541" s="70"/>
      <c r="F541" s="70"/>
      <c r="G541" s="70"/>
      <c r="H541" s="70"/>
      <c r="I541" s="70"/>
      <c r="J541" s="70"/>
      <c r="K541" s="70"/>
      <c r="L541" s="70"/>
      <c r="M541" s="70"/>
      <c r="N541" s="70"/>
      <c r="O541" s="164"/>
      <c r="P541" s="164"/>
      <c r="Q541" s="164"/>
      <c r="R541" s="70"/>
      <c r="S541" s="70"/>
      <c r="T541" s="70"/>
      <c r="U541" s="70"/>
      <c r="V541" s="70"/>
      <c r="W541" s="70"/>
      <c r="X541" s="70"/>
      <c r="Y541" s="95">
        <f t="shared" si="229"/>
        <v>14440</v>
      </c>
    </row>
    <row r="542" spans="1:26" ht="21" customHeight="1">
      <c r="A542" s="93">
        <v>331500</v>
      </c>
      <c r="B542" s="68" t="s">
        <v>200</v>
      </c>
      <c r="C542" s="70"/>
      <c r="D542" s="70"/>
      <c r="E542" s="70"/>
      <c r="F542" s="70"/>
      <c r="G542" s="70"/>
      <c r="H542" s="70"/>
      <c r="I542" s="70"/>
      <c r="J542" s="70"/>
      <c r="K542" s="70"/>
      <c r="L542" s="70"/>
      <c r="M542" s="70"/>
      <c r="N542" s="70"/>
      <c r="O542" s="164"/>
      <c r="P542" s="164"/>
      <c r="Q542" s="164"/>
      <c r="R542" s="70"/>
      <c r="S542" s="70"/>
      <c r="T542" s="70"/>
      <c r="U542" s="70"/>
      <c r="V542" s="70"/>
      <c r="W542" s="70"/>
      <c r="X542" s="70"/>
      <c r="Y542" s="95">
        <f t="shared" si="229"/>
        <v>0</v>
      </c>
    </row>
    <row r="543" spans="1:26" ht="21" customHeight="1">
      <c r="A543" s="96">
        <v>331700</v>
      </c>
      <c r="B543" s="69" t="s">
        <v>201</v>
      </c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165"/>
      <c r="P543" s="165"/>
      <c r="Q543" s="165"/>
      <c r="R543" s="76"/>
      <c r="S543" s="76"/>
      <c r="T543" s="76"/>
      <c r="U543" s="76"/>
      <c r="V543" s="76"/>
      <c r="W543" s="76"/>
      <c r="X543" s="76"/>
      <c r="Y543" s="95">
        <f t="shared" si="229"/>
        <v>0</v>
      </c>
    </row>
    <row r="544" spans="1:26" ht="21" customHeight="1">
      <c r="A544" s="426" t="s">
        <v>174</v>
      </c>
      <c r="B544" s="427"/>
      <c r="C544" s="95">
        <f t="shared" ref="C544:X544" si="230">SUM(C528:C543)</f>
        <v>67358.34</v>
      </c>
      <c r="D544" s="95">
        <f t="shared" si="230"/>
        <v>186.68</v>
      </c>
      <c r="E544" s="95">
        <f t="shared" si="230"/>
        <v>0</v>
      </c>
      <c r="F544" s="95">
        <f t="shared" si="230"/>
        <v>0</v>
      </c>
      <c r="G544" s="95">
        <f t="shared" si="230"/>
        <v>0</v>
      </c>
      <c r="H544" s="95">
        <f t="shared" si="230"/>
        <v>0</v>
      </c>
      <c r="I544" s="95">
        <f t="shared" si="230"/>
        <v>0</v>
      </c>
      <c r="J544" s="95">
        <f t="shared" si="230"/>
        <v>5022.5</v>
      </c>
      <c r="K544" s="95">
        <f t="shared" si="230"/>
        <v>0</v>
      </c>
      <c r="L544" s="95">
        <f t="shared" si="230"/>
        <v>6958.84</v>
      </c>
      <c r="M544" s="95">
        <f t="shared" si="230"/>
        <v>8145.2</v>
      </c>
      <c r="N544" s="95">
        <f t="shared" si="230"/>
        <v>22183.5</v>
      </c>
      <c r="O544" s="95">
        <f t="shared" si="230"/>
        <v>0</v>
      </c>
      <c r="P544" s="95">
        <f t="shared" si="230"/>
        <v>0</v>
      </c>
      <c r="Q544" s="95">
        <f t="shared" si="230"/>
        <v>0</v>
      </c>
      <c r="R544" s="95">
        <f t="shared" si="230"/>
        <v>0</v>
      </c>
      <c r="S544" s="95">
        <f t="shared" si="230"/>
        <v>0</v>
      </c>
      <c r="T544" s="95">
        <f t="shared" si="230"/>
        <v>0</v>
      </c>
      <c r="U544" s="95">
        <f t="shared" si="230"/>
        <v>0</v>
      </c>
      <c r="V544" s="95">
        <f t="shared" si="230"/>
        <v>0</v>
      </c>
      <c r="W544" s="95">
        <f t="shared" si="230"/>
        <v>22503</v>
      </c>
      <c r="X544" s="95">
        <f t="shared" si="230"/>
        <v>0</v>
      </c>
      <c r="Y544" s="95">
        <f>SUM(Y528:Y543)</f>
        <v>132358.06</v>
      </c>
      <c r="Z544" s="91">
        <f>132358.06-Y544</f>
        <v>0</v>
      </c>
    </row>
    <row r="545" spans="1:26" ht="21" customHeight="1">
      <c r="A545" s="428" t="s">
        <v>175</v>
      </c>
      <c r="B545" s="429"/>
      <c r="C545" s="99">
        <f>+C544+C427</f>
        <v>241645.34999999998</v>
      </c>
      <c r="D545" s="99">
        <f t="shared" ref="D545:Y545" si="231">+D544+D427</f>
        <v>38204.54</v>
      </c>
      <c r="E545" s="99">
        <f t="shared" si="231"/>
        <v>0</v>
      </c>
      <c r="F545" s="99">
        <f t="shared" si="231"/>
        <v>0</v>
      </c>
      <c r="G545" s="99">
        <f t="shared" si="231"/>
        <v>0</v>
      </c>
      <c r="H545" s="99">
        <f t="shared" si="231"/>
        <v>0</v>
      </c>
      <c r="I545" s="99">
        <f t="shared" si="231"/>
        <v>0</v>
      </c>
      <c r="J545" s="99">
        <f t="shared" si="231"/>
        <v>23532.5</v>
      </c>
      <c r="K545" s="99">
        <f t="shared" si="231"/>
        <v>0</v>
      </c>
      <c r="L545" s="99">
        <f t="shared" si="231"/>
        <v>28838.940000000002</v>
      </c>
      <c r="M545" s="99">
        <f t="shared" si="231"/>
        <v>63611.299999999996</v>
      </c>
      <c r="N545" s="99">
        <f t="shared" si="231"/>
        <v>104971.36</v>
      </c>
      <c r="O545" s="99">
        <f t="shared" si="231"/>
        <v>0</v>
      </c>
      <c r="P545" s="99">
        <f t="shared" si="231"/>
        <v>0</v>
      </c>
      <c r="Q545" s="99">
        <f t="shared" si="231"/>
        <v>0</v>
      </c>
      <c r="R545" s="99">
        <f t="shared" si="231"/>
        <v>2980</v>
      </c>
      <c r="S545" s="99">
        <f t="shared" si="231"/>
        <v>0</v>
      </c>
      <c r="T545" s="99">
        <f t="shared" si="231"/>
        <v>0</v>
      </c>
      <c r="U545" s="99">
        <f t="shared" si="231"/>
        <v>0</v>
      </c>
      <c r="V545" s="99">
        <f t="shared" si="231"/>
        <v>0</v>
      </c>
      <c r="W545" s="99">
        <f t="shared" si="231"/>
        <v>32864</v>
      </c>
      <c r="X545" s="99">
        <f t="shared" si="231"/>
        <v>0</v>
      </c>
      <c r="Y545" s="99">
        <f t="shared" si="231"/>
        <v>536647.99</v>
      </c>
      <c r="Z545" s="91">
        <f>536647.99-Y545</f>
        <v>0</v>
      </c>
    </row>
    <row r="546" spans="1:26" ht="21" customHeight="1">
      <c r="A546" s="432" t="s">
        <v>391</v>
      </c>
      <c r="B546" s="433"/>
      <c r="C546" s="100"/>
      <c r="D546" s="100"/>
      <c r="E546" s="100"/>
      <c r="F546" s="100"/>
      <c r="G546" s="100"/>
      <c r="H546" s="100"/>
      <c r="I546" s="100"/>
      <c r="J546" s="100"/>
      <c r="K546" s="100"/>
      <c r="L546" s="100"/>
      <c r="M546" s="100"/>
      <c r="N546" s="100"/>
      <c r="O546" s="167"/>
      <c r="P546" s="167"/>
      <c r="Q546" s="167"/>
      <c r="R546" s="100"/>
      <c r="S546" s="100"/>
      <c r="T546" s="100"/>
      <c r="U546" s="100"/>
      <c r="V546" s="100"/>
      <c r="W546" s="100"/>
      <c r="X546" s="100"/>
      <c r="Y546" s="101">
        <f t="shared" ref="Y546" si="232">SUM(C546:X546)</f>
        <v>0</v>
      </c>
    </row>
    <row r="547" spans="1:26" ht="21" customHeight="1">
      <c r="A547" s="93">
        <v>340100</v>
      </c>
      <c r="B547" s="68" t="s">
        <v>202</v>
      </c>
      <c r="C547" s="70">
        <f>21661.15+20013.75</f>
        <v>41674.9</v>
      </c>
      <c r="D547" s="70"/>
      <c r="E547" s="70"/>
      <c r="F547" s="70"/>
      <c r="G547" s="70"/>
      <c r="H547" s="70"/>
      <c r="I547" s="70"/>
      <c r="J547" s="70"/>
      <c r="K547" s="70"/>
      <c r="L547" s="70"/>
      <c r="M547" s="70"/>
      <c r="N547" s="70"/>
      <c r="O547" s="164"/>
      <c r="P547" s="164"/>
      <c r="Q547" s="164"/>
      <c r="R547" s="70"/>
      <c r="S547" s="70"/>
      <c r="T547" s="70"/>
      <c r="U547" s="70"/>
      <c r="V547" s="70"/>
      <c r="W547" s="70">
        <f>49617.45+48174.57</f>
        <v>97792.01999999999</v>
      </c>
      <c r="X547" s="70"/>
      <c r="Y547" s="95">
        <f>SUM(C547:X547)</f>
        <v>139466.91999999998</v>
      </c>
    </row>
    <row r="548" spans="1:26" ht="21" customHeight="1">
      <c r="A548" s="93">
        <v>340300</v>
      </c>
      <c r="B548" s="68" t="s">
        <v>203</v>
      </c>
      <c r="C548" s="70">
        <v>421.26</v>
      </c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164"/>
      <c r="P548" s="164"/>
      <c r="Q548" s="164"/>
      <c r="R548" s="70"/>
      <c r="S548" s="70"/>
      <c r="T548" s="70"/>
      <c r="U548" s="70"/>
      <c r="V548" s="70"/>
      <c r="W548" s="70"/>
      <c r="X548" s="70"/>
      <c r="Y548" s="95">
        <f t="shared" ref="Y548:Y550" si="233">SUM(C548:X548)</f>
        <v>421.26</v>
      </c>
    </row>
    <row r="549" spans="1:26" ht="21" customHeight="1">
      <c r="A549" s="93">
        <v>340400</v>
      </c>
      <c r="B549" s="68" t="s">
        <v>204</v>
      </c>
      <c r="C549" s="70">
        <v>3224</v>
      </c>
      <c r="D549" s="70"/>
      <c r="E549" s="70"/>
      <c r="F549" s="70"/>
      <c r="G549" s="70"/>
      <c r="H549" s="70"/>
      <c r="I549" s="70"/>
      <c r="J549" s="70"/>
      <c r="K549" s="70"/>
      <c r="L549" s="70"/>
      <c r="M549" s="70"/>
      <c r="N549" s="70"/>
      <c r="O549" s="164"/>
      <c r="P549" s="164"/>
      <c r="Q549" s="164"/>
      <c r="R549" s="70"/>
      <c r="S549" s="70"/>
      <c r="T549" s="70"/>
      <c r="U549" s="70"/>
      <c r="V549" s="70"/>
      <c r="W549" s="70"/>
      <c r="X549" s="70"/>
      <c r="Y549" s="95">
        <f t="shared" si="233"/>
        <v>3224</v>
      </c>
    </row>
    <row r="550" spans="1:26" ht="21" customHeight="1">
      <c r="A550" s="96">
        <v>340500</v>
      </c>
      <c r="B550" s="69" t="s">
        <v>205</v>
      </c>
      <c r="C550" s="70">
        <v>8560</v>
      </c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165"/>
      <c r="P550" s="165"/>
      <c r="Q550" s="165"/>
      <c r="R550" s="76"/>
      <c r="S550" s="76"/>
      <c r="T550" s="76"/>
      <c r="U550" s="76"/>
      <c r="V550" s="76"/>
      <c r="W550" s="76"/>
      <c r="X550" s="76"/>
      <c r="Y550" s="98">
        <f t="shared" si="233"/>
        <v>8560</v>
      </c>
    </row>
    <row r="551" spans="1:26" ht="21" customHeight="1">
      <c r="A551" s="426" t="s">
        <v>174</v>
      </c>
      <c r="B551" s="427"/>
      <c r="C551" s="95">
        <f>SUM(C547:C550)</f>
        <v>53880.160000000003</v>
      </c>
      <c r="D551" s="95">
        <f t="shared" ref="D551:Y551" si="234">SUM(D547:D550)</f>
        <v>0</v>
      </c>
      <c r="E551" s="95">
        <f t="shared" si="234"/>
        <v>0</v>
      </c>
      <c r="F551" s="95">
        <f t="shared" si="234"/>
        <v>0</v>
      </c>
      <c r="G551" s="95">
        <f t="shared" si="234"/>
        <v>0</v>
      </c>
      <c r="H551" s="95">
        <f t="shared" si="234"/>
        <v>0</v>
      </c>
      <c r="I551" s="95">
        <f t="shared" si="234"/>
        <v>0</v>
      </c>
      <c r="J551" s="95">
        <f t="shared" si="234"/>
        <v>0</v>
      </c>
      <c r="K551" s="95">
        <f t="shared" si="234"/>
        <v>0</v>
      </c>
      <c r="L551" s="95">
        <f t="shared" si="234"/>
        <v>0</v>
      </c>
      <c r="M551" s="95">
        <f t="shared" si="234"/>
        <v>0</v>
      </c>
      <c r="N551" s="95">
        <f t="shared" si="234"/>
        <v>0</v>
      </c>
      <c r="O551" s="95">
        <f t="shared" si="234"/>
        <v>0</v>
      </c>
      <c r="P551" s="95">
        <f t="shared" si="234"/>
        <v>0</v>
      </c>
      <c r="Q551" s="95">
        <f t="shared" si="234"/>
        <v>0</v>
      </c>
      <c r="R551" s="95">
        <f t="shared" si="234"/>
        <v>0</v>
      </c>
      <c r="S551" s="95">
        <f t="shared" si="234"/>
        <v>0</v>
      </c>
      <c r="T551" s="95">
        <f t="shared" si="234"/>
        <v>0</v>
      </c>
      <c r="U551" s="95">
        <f t="shared" si="234"/>
        <v>0</v>
      </c>
      <c r="V551" s="95">
        <f t="shared" si="234"/>
        <v>0</v>
      </c>
      <c r="W551" s="95">
        <f t="shared" si="234"/>
        <v>97792.01999999999</v>
      </c>
      <c r="X551" s="95">
        <f t="shared" si="234"/>
        <v>0</v>
      </c>
      <c r="Y551" s="95">
        <f t="shared" si="234"/>
        <v>151672.18</v>
      </c>
      <c r="Z551" s="91">
        <f>151672.18-Y551</f>
        <v>0</v>
      </c>
    </row>
    <row r="552" spans="1:26" ht="21" customHeight="1">
      <c r="A552" s="428" t="s">
        <v>175</v>
      </c>
      <c r="B552" s="429"/>
      <c r="C552" s="99">
        <f>+C551+C434</f>
        <v>166478.85999999999</v>
      </c>
      <c r="D552" s="99">
        <f t="shared" ref="D552:Y552" si="235">+D551+D434</f>
        <v>0</v>
      </c>
      <c r="E552" s="99">
        <f t="shared" si="235"/>
        <v>0</v>
      </c>
      <c r="F552" s="99">
        <f t="shared" si="235"/>
        <v>0</v>
      </c>
      <c r="G552" s="99">
        <f t="shared" si="235"/>
        <v>0</v>
      </c>
      <c r="H552" s="99">
        <f t="shared" si="235"/>
        <v>0</v>
      </c>
      <c r="I552" s="99">
        <f t="shared" si="235"/>
        <v>0</v>
      </c>
      <c r="J552" s="99">
        <f t="shared" si="235"/>
        <v>0</v>
      </c>
      <c r="K552" s="99">
        <f t="shared" si="235"/>
        <v>0</v>
      </c>
      <c r="L552" s="99">
        <f t="shared" si="235"/>
        <v>0</v>
      </c>
      <c r="M552" s="99">
        <f t="shared" si="235"/>
        <v>0</v>
      </c>
      <c r="N552" s="99">
        <f t="shared" si="235"/>
        <v>0</v>
      </c>
      <c r="O552" s="99">
        <f t="shared" si="235"/>
        <v>0</v>
      </c>
      <c r="P552" s="99">
        <f t="shared" si="235"/>
        <v>0</v>
      </c>
      <c r="Q552" s="99">
        <f t="shared" si="235"/>
        <v>0</v>
      </c>
      <c r="R552" s="99">
        <f t="shared" si="235"/>
        <v>0</v>
      </c>
      <c r="S552" s="99">
        <f t="shared" si="235"/>
        <v>0</v>
      </c>
      <c r="T552" s="99">
        <f t="shared" si="235"/>
        <v>0</v>
      </c>
      <c r="U552" s="99">
        <f t="shared" si="235"/>
        <v>0</v>
      </c>
      <c r="V552" s="99">
        <f t="shared" si="235"/>
        <v>0</v>
      </c>
      <c r="W552" s="99">
        <f t="shared" si="235"/>
        <v>239760.06999999998</v>
      </c>
      <c r="X552" s="99">
        <f t="shared" si="235"/>
        <v>0</v>
      </c>
      <c r="Y552" s="99">
        <f t="shared" si="235"/>
        <v>406238.93000000005</v>
      </c>
      <c r="Z552" s="91">
        <f>406238.93-Y552</f>
        <v>0</v>
      </c>
    </row>
    <row r="553" spans="1:26" ht="21" customHeight="1">
      <c r="A553" s="432" t="s">
        <v>392</v>
      </c>
      <c r="B553" s="433"/>
      <c r="C553" s="100"/>
      <c r="D553" s="100"/>
      <c r="E553" s="100"/>
      <c r="F553" s="100"/>
      <c r="G553" s="100"/>
      <c r="H553" s="100"/>
      <c r="I553" s="100"/>
      <c r="J553" s="100"/>
      <c r="K553" s="100"/>
      <c r="L553" s="100"/>
      <c r="M553" s="100"/>
      <c r="N553" s="100"/>
      <c r="O553" s="167"/>
      <c r="P553" s="167"/>
      <c r="Q553" s="167"/>
      <c r="R553" s="100"/>
      <c r="S553" s="100"/>
      <c r="T553" s="100"/>
      <c r="U553" s="100"/>
      <c r="V553" s="100"/>
      <c r="W553" s="100"/>
      <c r="X553" s="100"/>
      <c r="Y553" s="101">
        <f t="shared" ref="Y553:Y565" si="236">SUM(C553:X553)</f>
        <v>0</v>
      </c>
    </row>
    <row r="554" spans="1:26" ht="21" customHeight="1">
      <c r="A554" s="93">
        <v>410400</v>
      </c>
      <c r="B554" s="68" t="s">
        <v>206</v>
      </c>
      <c r="C554" s="70">
        <v>9500</v>
      </c>
      <c r="D554" s="70"/>
      <c r="E554" s="70"/>
      <c r="F554" s="70">
        <v>44000</v>
      </c>
      <c r="G554" s="70"/>
      <c r="H554" s="70"/>
      <c r="I554" s="70"/>
      <c r="J554" s="70"/>
      <c r="K554" s="70"/>
      <c r="L554" s="70"/>
      <c r="M554" s="70"/>
      <c r="N554" s="70"/>
      <c r="O554" s="164"/>
      <c r="P554" s="164"/>
      <c r="Q554" s="164"/>
      <c r="R554" s="70"/>
      <c r="S554" s="70"/>
      <c r="T554" s="70"/>
      <c r="U554" s="70"/>
      <c r="V554" s="70"/>
      <c r="W554" s="70"/>
      <c r="X554" s="70"/>
      <c r="Y554" s="95">
        <f t="shared" si="236"/>
        <v>53500</v>
      </c>
    </row>
    <row r="555" spans="1:26" ht="21" customHeight="1">
      <c r="A555" s="93">
        <v>410200</v>
      </c>
      <c r="B555" s="68" t="s">
        <v>224</v>
      </c>
      <c r="C555" s="70"/>
      <c r="D555" s="70"/>
      <c r="E555" s="70"/>
      <c r="F555" s="70"/>
      <c r="G555" s="70"/>
      <c r="H555" s="70"/>
      <c r="I555" s="70"/>
      <c r="J555" s="70"/>
      <c r="K555" s="70"/>
      <c r="L555" s="70"/>
      <c r="M555" s="70"/>
      <c r="N555" s="70"/>
      <c r="O555" s="164"/>
      <c r="P555" s="164"/>
      <c r="Q555" s="164"/>
      <c r="R555" s="70"/>
      <c r="S555" s="70"/>
      <c r="T555" s="70"/>
      <c r="U555" s="70"/>
      <c r="V555" s="70"/>
      <c r="W555" s="70"/>
      <c r="X555" s="70"/>
      <c r="Y555" s="95">
        <f t="shared" si="236"/>
        <v>0</v>
      </c>
    </row>
    <row r="556" spans="1:26" ht="21" customHeight="1">
      <c r="A556" s="93">
        <v>410300</v>
      </c>
      <c r="B556" s="68" t="s">
        <v>207</v>
      </c>
      <c r="C556" s="70"/>
      <c r="D556" s="70"/>
      <c r="E556" s="70"/>
      <c r="F556" s="70"/>
      <c r="G556" s="70"/>
      <c r="H556" s="70"/>
      <c r="I556" s="70"/>
      <c r="J556" s="70"/>
      <c r="K556" s="70"/>
      <c r="L556" s="70"/>
      <c r="M556" s="70"/>
      <c r="N556" s="70"/>
      <c r="O556" s="164"/>
      <c r="P556" s="164"/>
      <c r="Q556" s="164"/>
      <c r="R556" s="70"/>
      <c r="S556" s="70"/>
      <c r="T556" s="70"/>
      <c r="U556" s="70"/>
      <c r="V556" s="70"/>
      <c r="W556" s="70"/>
      <c r="X556" s="70"/>
      <c r="Y556" s="95">
        <f t="shared" si="236"/>
        <v>0</v>
      </c>
    </row>
    <row r="557" spans="1:26" ht="21" customHeight="1">
      <c r="A557" s="93">
        <v>410400</v>
      </c>
      <c r="B557" s="68" t="s">
        <v>225</v>
      </c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165"/>
      <c r="P557" s="165"/>
      <c r="Q557" s="165"/>
      <c r="R557" s="76"/>
      <c r="S557" s="76"/>
      <c r="T557" s="76"/>
      <c r="U557" s="76"/>
      <c r="V557" s="76"/>
      <c r="W557" s="76">
        <v>56500</v>
      </c>
      <c r="X557" s="76"/>
      <c r="Y557" s="95">
        <f t="shared" si="236"/>
        <v>56500</v>
      </c>
    </row>
    <row r="558" spans="1:26" ht="21" customHeight="1">
      <c r="A558" s="93">
        <v>410500</v>
      </c>
      <c r="B558" s="68" t="s">
        <v>226</v>
      </c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165"/>
      <c r="P558" s="165"/>
      <c r="Q558" s="165"/>
      <c r="R558" s="76"/>
      <c r="S558" s="76"/>
      <c r="T558" s="76"/>
      <c r="U558" s="76"/>
      <c r="V558" s="76"/>
      <c r="W558" s="76"/>
      <c r="X558" s="76"/>
      <c r="Y558" s="95">
        <f t="shared" si="236"/>
        <v>0</v>
      </c>
    </row>
    <row r="559" spans="1:26" ht="21" customHeight="1">
      <c r="A559" s="93">
        <v>410600</v>
      </c>
      <c r="B559" s="68" t="s">
        <v>227</v>
      </c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165"/>
      <c r="P559" s="165"/>
      <c r="Q559" s="165"/>
      <c r="R559" s="76"/>
      <c r="S559" s="76"/>
      <c r="T559" s="76"/>
      <c r="U559" s="76"/>
      <c r="V559" s="76"/>
      <c r="W559" s="76"/>
      <c r="X559" s="76"/>
      <c r="Y559" s="95">
        <f t="shared" si="236"/>
        <v>0</v>
      </c>
    </row>
    <row r="560" spans="1:26" ht="21" customHeight="1">
      <c r="A560" s="93">
        <v>410700</v>
      </c>
      <c r="B560" s="68" t="s">
        <v>208</v>
      </c>
      <c r="C560" s="70"/>
      <c r="D560" s="70"/>
      <c r="E560" s="70"/>
      <c r="F560" s="70"/>
      <c r="G560" s="70"/>
      <c r="H560" s="70"/>
      <c r="I560" s="70"/>
      <c r="J560" s="70"/>
      <c r="K560" s="70"/>
      <c r="L560" s="70"/>
      <c r="M560" s="70"/>
      <c r="N560" s="70"/>
      <c r="O560" s="164"/>
      <c r="P560" s="164"/>
      <c r="Q560" s="164"/>
      <c r="R560" s="70"/>
      <c r="S560" s="70"/>
      <c r="T560" s="70"/>
      <c r="U560" s="70"/>
      <c r="V560" s="70"/>
      <c r="W560" s="70"/>
      <c r="X560" s="70"/>
      <c r="Y560" s="95">
        <f t="shared" si="236"/>
        <v>0</v>
      </c>
    </row>
    <row r="561" spans="1:25" ht="21" customHeight="1">
      <c r="A561" s="93">
        <v>410800</v>
      </c>
      <c r="B561" s="68" t="s">
        <v>228</v>
      </c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165"/>
      <c r="P561" s="165"/>
      <c r="Q561" s="165"/>
      <c r="R561" s="76"/>
      <c r="S561" s="76"/>
      <c r="T561" s="76"/>
      <c r="U561" s="76"/>
      <c r="V561" s="76"/>
      <c r="W561" s="76"/>
      <c r="X561" s="76"/>
      <c r="Y561" s="95">
        <f t="shared" si="236"/>
        <v>0</v>
      </c>
    </row>
    <row r="562" spans="1:25" ht="21" customHeight="1">
      <c r="A562" s="93">
        <v>410900</v>
      </c>
      <c r="B562" s="68" t="s">
        <v>243</v>
      </c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165"/>
      <c r="P562" s="165"/>
      <c r="Q562" s="165"/>
      <c r="R562" s="76"/>
      <c r="S562" s="76"/>
      <c r="T562" s="76"/>
      <c r="U562" s="76"/>
      <c r="V562" s="76"/>
      <c r="W562" s="76"/>
      <c r="X562" s="76"/>
      <c r="Y562" s="95">
        <f t="shared" si="236"/>
        <v>0</v>
      </c>
    </row>
    <row r="563" spans="1:25" ht="21" customHeight="1">
      <c r="A563" s="93">
        <v>411000</v>
      </c>
      <c r="B563" s="68" t="s">
        <v>295</v>
      </c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165"/>
      <c r="P563" s="165"/>
      <c r="Q563" s="165"/>
      <c r="R563" s="76"/>
      <c r="S563" s="76"/>
      <c r="T563" s="76"/>
      <c r="U563" s="76"/>
      <c r="V563" s="76"/>
      <c r="W563" s="76"/>
      <c r="X563" s="76"/>
      <c r="Y563" s="95">
        <f t="shared" si="236"/>
        <v>0</v>
      </c>
    </row>
    <row r="564" spans="1:25" ht="21" customHeight="1">
      <c r="A564" s="93">
        <v>411100</v>
      </c>
      <c r="B564" s="68" t="s">
        <v>260</v>
      </c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165"/>
      <c r="P564" s="165"/>
      <c r="Q564" s="165"/>
      <c r="R564" s="76"/>
      <c r="S564" s="76"/>
      <c r="T564" s="76"/>
      <c r="U564" s="76"/>
      <c r="V564" s="76"/>
      <c r="W564" s="76"/>
      <c r="X564" s="76"/>
      <c r="Y564" s="95">
        <f t="shared" si="236"/>
        <v>0</v>
      </c>
    </row>
    <row r="565" spans="1:25" ht="21" customHeight="1">
      <c r="A565" s="93">
        <v>411300</v>
      </c>
      <c r="B565" s="68" t="s">
        <v>296</v>
      </c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165"/>
      <c r="P565" s="165"/>
      <c r="Q565" s="165"/>
      <c r="R565" s="76"/>
      <c r="S565" s="76"/>
      <c r="T565" s="76"/>
      <c r="U565" s="76"/>
      <c r="V565" s="76"/>
      <c r="W565" s="76"/>
      <c r="X565" s="76"/>
      <c r="Y565" s="95">
        <f t="shared" si="236"/>
        <v>0</v>
      </c>
    </row>
    <row r="566" spans="1:25" ht="21" customHeight="1">
      <c r="A566" s="93">
        <v>411600</v>
      </c>
      <c r="B566" s="68" t="s">
        <v>229</v>
      </c>
      <c r="C566" s="70"/>
      <c r="D566" s="70"/>
      <c r="E566" s="70"/>
      <c r="F566" s="70"/>
      <c r="G566" s="70"/>
      <c r="H566" s="70"/>
      <c r="I566" s="70"/>
      <c r="J566" s="70"/>
      <c r="K566" s="70"/>
      <c r="L566" s="70"/>
      <c r="M566" s="70"/>
      <c r="N566" s="70"/>
      <c r="O566" s="164"/>
      <c r="P566" s="164"/>
      <c r="Q566" s="164"/>
      <c r="R566" s="70"/>
      <c r="S566" s="70"/>
      <c r="T566" s="70"/>
      <c r="U566" s="70"/>
      <c r="V566" s="70"/>
      <c r="W566" s="70"/>
      <c r="X566" s="70"/>
      <c r="Y566" s="95">
        <f>SUM(C566:X566)</f>
        <v>0</v>
      </c>
    </row>
    <row r="567" spans="1:25" ht="21" customHeight="1">
      <c r="A567" s="93">
        <v>411800</v>
      </c>
      <c r="B567" s="68" t="s">
        <v>209</v>
      </c>
      <c r="C567" s="70"/>
      <c r="D567" s="70"/>
      <c r="E567" s="70"/>
      <c r="F567" s="70"/>
      <c r="G567" s="70">
        <v>0</v>
      </c>
      <c r="H567" s="70"/>
      <c r="I567" s="70"/>
      <c r="J567" s="70"/>
      <c r="K567" s="70"/>
      <c r="L567" s="70"/>
      <c r="M567" s="70"/>
      <c r="N567" s="70"/>
      <c r="O567" s="164"/>
      <c r="P567" s="164"/>
      <c r="Q567" s="164"/>
      <c r="R567" s="70"/>
      <c r="S567" s="70"/>
      <c r="T567" s="70"/>
      <c r="U567" s="70"/>
      <c r="V567" s="70"/>
      <c r="W567" s="70">
        <v>0</v>
      </c>
      <c r="X567" s="70"/>
      <c r="Y567" s="95">
        <f>SUM(C567:X567)</f>
        <v>0</v>
      </c>
    </row>
    <row r="568" spans="1:25" ht="21" customHeight="1">
      <c r="A568" s="426" t="s">
        <v>174</v>
      </c>
      <c r="B568" s="427"/>
      <c r="C568" s="95">
        <f>SUM(C554:C567)</f>
        <v>9500</v>
      </c>
      <c r="D568" s="95">
        <f t="shared" ref="D568:X568" si="237">SUM(D554:D567)</f>
        <v>0</v>
      </c>
      <c r="E568" s="95">
        <f t="shared" si="237"/>
        <v>0</v>
      </c>
      <c r="F568" s="95">
        <f t="shared" si="237"/>
        <v>44000</v>
      </c>
      <c r="G568" s="95">
        <f t="shared" si="237"/>
        <v>0</v>
      </c>
      <c r="H568" s="95">
        <f t="shared" si="237"/>
        <v>0</v>
      </c>
      <c r="I568" s="95">
        <f t="shared" si="237"/>
        <v>0</v>
      </c>
      <c r="J568" s="95">
        <f t="shared" si="237"/>
        <v>0</v>
      </c>
      <c r="K568" s="95">
        <f t="shared" si="237"/>
        <v>0</v>
      </c>
      <c r="L568" s="95">
        <f t="shared" si="237"/>
        <v>0</v>
      </c>
      <c r="M568" s="95">
        <f t="shared" si="237"/>
        <v>0</v>
      </c>
      <c r="N568" s="95">
        <f t="shared" si="237"/>
        <v>0</v>
      </c>
      <c r="O568" s="95">
        <f t="shared" si="237"/>
        <v>0</v>
      </c>
      <c r="P568" s="95">
        <f t="shared" si="237"/>
        <v>0</v>
      </c>
      <c r="Q568" s="166">
        <f t="shared" si="237"/>
        <v>0</v>
      </c>
      <c r="R568" s="95">
        <f t="shared" si="237"/>
        <v>0</v>
      </c>
      <c r="S568" s="95">
        <f t="shared" si="237"/>
        <v>0</v>
      </c>
      <c r="T568" s="95">
        <f t="shared" si="237"/>
        <v>0</v>
      </c>
      <c r="U568" s="95">
        <f t="shared" si="237"/>
        <v>0</v>
      </c>
      <c r="V568" s="95">
        <f t="shared" si="237"/>
        <v>0</v>
      </c>
      <c r="W568" s="95">
        <f t="shared" si="237"/>
        <v>56500</v>
      </c>
      <c r="X568" s="95">
        <f t="shared" si="237"/>
        <v>0</v>
      </c>
      <c r="Y568" s="95">
        <f>SUM(C568:X568)</f>
        <v>110000</v>
      </c>
    </row>
    <row r="569" spans="1:25" ht="21" customHeight="1">
      <c r="A569" s="428" t="s">
        <v>175</v>
      </c>
      <c r="B569" s="429"/>
      <c r="C569" s="99">
        <f>+C568+C451</f>
        <v>9500</v>
      </c>
      <c r="D569" s="99">
        <f t="shared" ref="D569:Y569" si="238">+D568+D451</f>
        <v>14970</v>
      </c>
      <c r="E569" s="99">
        <f t="shared" si="238"/>
        <v>0</v>
      </c>
      <c r="F569" s="99">
        <f t="shared" si="238"/>
        <v>44000</v>
      </c>
      <c r="G569" s="99">
        <f t="shared" si="238"/>
        <v>0</v>
      </c>
      <c r="H569" s="99">
        <f t="shared" si="238"/>
        <v>0</v>
      </c>
      <c r="I569" s="99">
        <f t="shared" si="238"/>
        <v>0</v>
      </c>
      <c r="J569" s="99">
        <f t="shared" si="238"/>
        <v>0</v>
      </c>
      <c r="K569" s="99">
        <f t="shared" si="238"/>
        <v>0</v>
      </c>
      <c r="L569" s="99">
        <f t="shared" si="238"/>
        <v>0</v>
      </c>
      <c r="M569" s="99">
        <f t="shared" si="238"/>
        <v>0</v>
      </c>
      <c r="N569" s="99">
        <f t="shared" si="238"/>
        <v>0</v>
      </c>
      <c r="O569" s="99">
        <f t="shared" si="238"/>
        <v>0</v>
      </c>
      <c r="P569" s="99">
        <f t="shared" si="238"/>
        <v>0</v>
      </c>
      <c r="Q569" s="99">
        <f t="shared" si="238"/>
        <v>0</v>
      </c>
      <c r="R569" s="99">
        <f t="shared" si="238"/>
        <v>0</v>
      </c>
      <c r="S569" s="99">
        <f t="shared" si="238"/>
        <v>0</v>
      </c>
      <c r="T569" s="99">
        <f t="shared" si="238"/>
        <v>0</v>
      </c>
      <c r="U569" s="99">
        <f t="shared" si="238"/>
        <v>0</v>
      </c>
      <c r="V569" s="99">
        <f t="shared" si="238"/>
        <v>0</v>
      </c>
      <c r="W569" s="99">
        <f t="shared" si="238"/>
        <v>56500</v>
      </c>
      <c r="X569" s="99">
        <f t="shared" si="238"/>
        <v>0</v>
      </c>
      <c r="Y569" s="99">
        <f t="shared" si="238"/>
        <v>124970</v>
      </c>
    </row>
    <row r="570" spans="1:25" ht="21" customHeight="1">
      <c r="A570" s="435" t="s">
        <v>139</v>
      </c>
      <c r="B570" s="435"/>
      <c r="C570" s="434" t="s">
        <v>141</v>
      </c>
      <c r="D570" s="434"/>
      <c r="E570" s="437" t="s">
        <v>144</v>
      </c>
      <c r="F570" s="438"/>
      <c r="G570" s="434" t="s">
        <v>146</v>
      </c>
      <c r="H570" s="435"/>
      <c r="I570" s="437" t="s">
        <v>160</v>
      </c>
      <c r="J570" s="438"/>
      <c r="K570" s="370" t="s">
        <v>161</v>
      </c>
      <c r="L570" s="437" t="s">
        <v>162</v>
      </c>
      <c r="M570" s="439"/>
      <c r="N570" s="439"/>
      <c r="O570" s="438"/>
      <c r="P570" s="437" t="s">
        <v>163</v>
      </c>
      <c r="Q570" s="438"/>
      <c r="R570" s="437" t="s">
        <v>164</v>
      </c>
      <c r="S570" s="439"/>
      <c r="T570" s="438"/>
      <c r="U570" s="434" t="s">
        <v>165</v>
      </c>
      <c r="V570" s="435"/>
      <c r="W570" s="370" t="s">
        <v>212</v>
      </c>
      <c r="X570" s="370" t="s">
        <v>166</v>
      </c>
      <c r="Y570" s="436" t="s">
        <v>17</v>
      </c>
    </row>
    <row r="571" spans="1:25" ht="21" customHeight="1">
      <c r="A571" s="435" t="s">
        <v>140</v>
      </c>
      <c r="B571" s="435"/>
      <c r="C571" s="370" t="s">
        <v>142</v>
      </c>
      <c r="D571" s="370" t="s">
        <v>143</v>
      </c>
      <c r="E571" s="370" t="s">
        <v>145</v>
      </c>
      <c r="F571" s="370" t="s">
        <v>214</v>
      </c>
      <c r="G571" s="370" t="s">
        <v>147</v>
      </c>
      <c r="H571" s="370" t="s">
        <v>148</v>
      </c>
      <c r="I571" s="370" t="s">
        <v>149</v>
      </c>
      <c r="J571" s="370" t="s">
        <v>150</v>
      </c>
      <c r="K571" s="370" t="s">
        <v>151</v>
      </c>
      <c r="L571" s="370" t="s">
        <v>152</v>
      </c>
      <c r="M571" s="370" t="s">
        <v>153</v>
      </c>
      <c r="N571" s="370" t="s">
        <v>238</v>
      </c>
      <c r="O571" s="269" t="s">
        <v>331</v>
      </c>
      <c r="P571" s="371" t="s">
        <v>303</v>
      </c>
      <c r="Q571" s="371" t="s">
        <v>154</v>
      </c>
      <c r="R571" s="370" t="s">
        <v>155</v>
      </c>
      <c r="S571" s="370" t="s">
        <v>156</v>
      </c>
      <c r="T571" s="370" t="s">
        <v>216</v>
      </c>
      <c r="U571" s="370" t="s">
        <v>157</v>
      </c>
      <c r="V571" s="370" t="s">
        <v>158</v>
      </c>
      <c r="W571" s="370" t="s">
        <v>213</v>
      </c>
      <c r="X571" s="370" t="s">
        <v>159</v>
      </c>
      <c r="Y571" s="436"/>
    </row>
    <row r="572" spans="1:25" ht="21" customHeight="1">
      <c r="A572" s="432" t="s">
        <v>393</v>
      </c>
      <c r="B572" s="433"/>
      <c r="C572" s="100"/>
      <c r="D572" s="100"/>
      <c r="E572" s="100"/>
      <c r="F572" s="100"/>
      <c r="G572" s="100"/>
      <c r="H572" s="100"/>
      <c r="I572" s="100"/>
      <c r="J572" s="100"/>
      <c r="K572" s="100"/>
      <c r="L572" s="100"/>
      <c r="M572" s="100"/>
      <c r="N572" s="100"/>
      <c r="O572" s="167"/>
      <c r="P572" s="167"/>
      <c r="Q572" s="167"/>
      <c r="R572" s="100"/>
      <c r="S572" s="100"/>
      <c r="T572" s="100"/>
      <c r="U572" s="100"/>
      <c r="V572" s="100"/>
      <c r="W572" s="100"/>
      <c r="X572" s="100"/>
      <c r="Y572" s="101">
        <f>SUM(C572:X572)</f>
        <v>0</v>
      </c>
    </row>
    <row r="573" spans="1:25" ht="21" customHeight="1">
      <c r="A573" s="93">
        <v>420700</v>
      </c>
      <c r="B573" s="94" t="s">
        <v>394</v>
      </c>
      <c r="C573" s="70"/>
      <c r="D573" s="70"/>
      <c r="E573" s="70"/>
      <c r="F573" s="70"/>
      <c r="G573" s="70"/>
      <c r="H573" s="70"/>
      <c r="I573" s="70"/>
      <c r="J573" s="70"/>
      <c r="K573" s="70"/>
      <c r="L573" s="70"/>
      <c r="M573" s="70"/>
      <c r="N573" s="70"/>
      <c r="O573" s="164"/>
      <c r="P573" s="164"/>
      <c r="Q573" s="164"/>
      <c r="R573" s="70"/>
      <c r="S573" s="70"/>
      <c r="T573" s="70"/>
      <c r="U573" s="70"/>
      <c r="V573" s="70"/>
      <c r="W573" s="70"/>
      <c r="X573" s="70"/>
      <c r="Y573" s="95">
        <f>SUM(C573:X573)</f>
        <v>0</v>
      </c>
    </row>
    <row r="574" spans="1:25" ht="21" customHeight="1">
      <c r="A574" s="96">
        <v>421000</v>
      </c>
      <c r="B574" s="97" t="s">
        <v>395</v>
      </c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165"/>
      <c r="P574" s="165"/>
      <c r="Q574" s="165"/>
      <c r="R574" s="76"/>
      <c r="S574" s="76"/>
      <c r="T574" s="76"/>
      <c r="U574" s="76"/>
      <c r="V574" s="76"/>
      <c r="W574" s="76"/>
      <c r="X574" s="76"/>
      <c r="Y574" s="95">
        <f t="shared" ref="Y574:Y575" si="239">SUM(C574:X574)</f>
        <v>0</v>
      </c>
    </row>
    <row r="575" spans="1:25" ht="21" customHeight="1">
      <c r="A575" s="96">
        <v>421100</v>
      </c>
      <c r="B575" s="97" t="s">
        <v>211</v>
      </c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165"/>
      <c r="P575" s="165"/>
      <c r="Q575" s="165"/>
      <c r="R575" s="76"/>
      <c r="S575" s="76"/>
      <c r="T575" s="76"/>
      <c r="U575" s="76"/>
      <c r="V575" s="76"/>
      <c r="W575" s="76"/>
      <c r="X575" s="76"/>
      <c r="Y575" s="95">
        <f t="shared" si="239"/>
        <v>0</v>
      </c>
    </row>
    <row r="576" spans="1:25" ht="21" customHeight="1">
      <c r="A576" s="426" t="s">
        <v>174</v>
      </c>
      <c r="B576" s="427"/>
      <c r="C576" s="95">
        <f>SUM(C573:C575)</f>
        <v>0</v>
      </c>
      <c r="D576" s="95">
        <f t="shared" ref="D576:W576" si="240">SUM(D573:D575)</f>
        <v>0</v>
      </c>
      <c r="E576" s="95">
        <f t="shared" si="240"/>
        <v>0</v>
      </c>
      <c r="F576" s="95">
        <f t="shared" si="240"/>
        <v>0</v>
      </c>
      <c r="G576" s="95">
        <f t="shared" si="240"/>
        <v>0</v>
      </c>
      <c r="H576" s="95">
        <f t="shared" si="240"/>
        <v>0</v>
      </c>
      <c r="I576" s="95">
        <f t="shared" si="240"/>
        <v>0</v>
      </c>
      <c r="J576" s="95">
        <f t="shared" si="240"/>
        <v>0</v>
      </c>
      <c r="K576" s="95">
        <f t="shared" si="240"/>
        <v>0</v>
      </c>
      <c r="L576" s="95">
        <f t="shared" si="240"/>
        <v>0</v>
      </c>
      <c r="M576" s="95">
        <f t="shared" si="240"/>
        <v>0</v>
      </c>
      <c r="N576" s="95">
        <f t="shared" si="240"/>
        <v>0</v>
      </c>
      <c r="O576" s="95">
        <f t="shared" si="240"/>
        <v>0</v>
      </c>
      <c r="P576" s="95">
        <f t="shared" si="240"/>
        <v>0</v>
      </c>
      <c r="Q576" s="95">
        <f t="shared" si="240"/>
        <v>0</v>
      </c>
      <c r="R576" s="95">
        <f t="shared" si="240"/>
        <v>0</v>
      </c>
      <c r="S576" s="95">
        <f t="shared" si="240"/>
        <v>0</v>
      </c>
      <c r="T576" s="95">
        <f t="shared" si="240"/>
        <v>0</v>
      </c>
      <c r="U576" s="95">
        <f t="shared" si="240"/>
        <v>0</v>
      </c>
      <c r="V576" s="95">
        <f t="shared" si="240"/>
        <v>0</v>
      </c>
      <c r="W576" s="95">
        <f t="shared" si="240"/>
        <v>0</v>
      </c>
      <c r="X576" s="95">
        <f>SUM(X573:X575)</f>
        <v>0</v>
      </c>
      <c r="Y576" s="95">
        <f>SUM(C576:X576)</f>
        <v>0</v>
      </c>
    </row>
    <row r="577" spans="1:26" ht="21" customHeight="1">
      <c r="A577" s="428" t="s">
        <v>175</v>
      </c>
      <c r="B577" s="429"/>
      <c r="C577" s="99">
        <f>+C576+C459</f>
        <v>0</v>
      </c>
      <c r="D577" s="99">
        <f t="shared" ref="D577:Y577" si="241">+D576+D459</f>
        <v>0</v>
      </c>
      <c r="E577" s="99">
        <f t="shared" si="241"/>
        <v>0</v>
      </c>
      <c r="F577" s="99">
        <f t="shared" si="241"/>
        <v>15000</v>
      </c>
      <c r="G577" s="99">
        <f t="shared" si="241"/>
        <v>0</v>
      </c>
      <c r="H577" s="99">
        <f t="shared" si="241"/>
        <v>0</v>
      </c>
      <c r="I577" s="99">
        <f t="shared" si="241"/>
        <v>0</v>
      </c>
      <c r="J577" s="99">
        <f t="shared" si="241"/>
        <v>0</v>
      </c>
      <c r="K577" s="99">
        <f t="shared" si="241"/>
        <v>0</v>
      </c>
      <c r="L577" s="99">
        <f t="shared" si="241"/>
        <v>0</v>
      </c>
      <c r="M577" s="99">
        <f t="shared" si="241"/>
        <v>0</v>
      </c>
      <c r="N577" s="99">
        <f t="shared" si="241"/>
        <v>0</v>
      </c>
      <c r="O577" s="99">
        <f t="shared" si="241"/>
        <v>0</v>
      </c>
      <c r="P577" s="99">
        <f t="shared" si="241"/>
        <v>0</v>
      </c>
      <c r="Q577" s="99">
        <f t="shared" si="241"/>
        <v>0</v>
      </c>
      <c r="R577" s="99">
        <f t="shared" si="241"/>
        <v>0</v>
      </c>
      <c r="S577" s="99">
        <f t="shared" si="241"/>
        <v>0</v>
      </c>
      <c r="T577" s="99">
        <f t="shared" si="241"/>
        <v>0</v>
      </c>
      <c r="U577" s="99">
        <f t="shared" si="241"/>
        <v>0</v>
      </c>
      <c r="V577" s="99">
        <f t="shared" si="241"/>
        <v>0</v>
      </c>
      <c r="W577" s="99">
        <f t="shared" si="241"/>
        <v>0</v>
      </c>
      <c r="X577" s="99">
        <f t="shared" si="241"/>
        <v>0</v>
      </c>
      <c r="Y577" s="99">
        <f t="shared" si="241"/>
        <v>15000</v>
      </c>
    </row>
    <row r="578" spans="1:26" ht="21" customHeight="1">
      <c r="A578" s="432" t="s">
        <v>397</v>
      </c>
      <c r="B578" s="433"/>
      <c r="C578" s="100"/>
      <c r="D578" s="100"/>
      <c r="E578" s="100"/>
      <c r="F578" s="100"/>
      <c r="G578" s="100"/>
      <c r="H578" s="100"/>
      <c r="I578" s="100"/>
      <c r="J578" s="100"/>
      <c r="K578" s="100"/>
      <c r="L578" s="100"/>
      <c r="M578" s="100"/>
      <c r="N578" s="100"/>
      <c r="O578" s="167"/>
      <c r="P578" s="167"/>
      <c r="Q578" s="167"/>
      <c r="R578" s="100"/>
      <c r="S578" s="100"/>
      <c r="T578" s="100"/>
      <c r="U578" s="100"/>
      <c r="V578" s="100"/>
      <c r="W578" s="100"/>
      <c r="X578" s="100"/>
      <c r="Y578" s="101">
        <f t="shared" ref="Y578:Y580" si="242">SUM(C578:X578)</f>
        <v>0</v>
      </c>
    </row>
    <row r="579" spans="1:26" ht="21" customHeight="1">
      <c r="A579" s="93">
        <v>510100</v>
      </c>
      <c r="B579" s="102" t="s">
        <v>12</v>
      </c>
      <c r="C579" s="70"/>
      <c r="D579" s="70"/>
      <c r="E579" s="70"/>
      <c r="F579" s="70"/>
      <c r="G579" s="70"/>
      <c r="H579" s="70"/>
      <c r="I579" s="70"/>
      <c r="J579" s="70"/>
      <c r="K579" s="70"/>
      <c r="L579" s="70"/>
      <c r="M579" s="70"/>
      <c r="N579" s="70"/>
      <c r="O579" s="164"/>
      <c r="P579" s="164"/>
      <c r="Q579" s="164"/>
      <c r="R579" s="70"/>
      <c r="S579" s="70"/>
      <c r="T579" s="70"/>
      <c r="U579" s="70"/>
      <c r="V579" s="70"/>
      <c r="W579" s="70"/>
      <c r="X579" s="70"/>
      <c r="Y579" s="95">
        <f t="shared" si="242"/>
        <v>0</v>
      </c>
    </row>
    <row r="580" spans="1:26" ht="21" customHeight="1">
      <c r="A580" s="426" t="s">
        <v>174</v>
      </c>
      <c r="B580" s="427"/>
      <c r="C580" s="95">
        <f t="shared" ref="C580:X580" si="243">SUM(C579:C579)</f>
        <v>0</v>
      </c>
      <c r="D580" s="95">
        <f t="shared" si="243"/>
        <v>0</v>
      </c>
      <c r="E580" s="95">
        <f t="shared" si="243"/>
        <v>0</v>
      </c>
      <c r="F580" s="95">
        <f t="shared" si="243"/>
        <v>0</v>
      </c>
      <c r="G580" s="95">
        <f t="shared" si="243"/>
        <v>0</v>
      </c>
      <c r="H580" s="95">
        <f t="shared" si="243"/>
        <v>0</v>
      </c>
      <c r="I580" s="95">
        <f t="shared" si="243"/>
        <v>0</v>
      </c>
      <c r="J580" s="95">
        <f t="shared" si="243"/>
        <v>0</v>
      </c>
      <c r="K580" s="95">
        <f t="shared" si="243"/>
        <v>0</v>
      </c>
      <c r="L580" s="95">
        <f t="shared" si="243"/>
        <v>0</v>
      </c>
      <c r="M580" s="95">
        <f t="shared" si="243"/>
        <v>0</v>
      </c>
      <c r="N580" s="95">
        <f t="shared" si="243"/>
        <v>0</v>
      </c>
      <c r="O580" s="95">
        <f t="shared" si="243"/>
        <v>0</v>
      </c>
      <c r="P580" s="95">
        <f t="shared" si="243"/>
        <v>0</v>
      </c>
      <c r="Q580" s="95">
        <f t="shared" si="243"/>
        <v>0</v>
      </c>
      <c r="R580" s="95">
        <f t="shared" si="243"/>
        <v>0</v>
      </c>
      <c r="S580" s="95">
        <f t="shared" si="243"/>
        <v>0</v>
      </c>
      <c r="T580" s="95">
        <f t="shared" si="243"/>
        <v>0</v>
      </c>
      <c r="U580" s="95">
        <f t="shared" si="243"/>
        <v>0</v>
      </c>
      <c r="V580" s="95">
        <f t="shared" si="243"/>
        <v>0</v>
      </c>
      <c r="W580" s="95">
        <f t="shared" si="243"/>
        <v>0</v>
      </c>
      <c r="X580" s="95">
        <f t="shared" si="243"/>
        <v>0</v>
      </c>
      <c r="Y580" s="95">
        <f t="shared" si="242"/>
        <v>0</v>
      </c>
    </row>
    <row r="581" spans="1:26" ht="21" customHeight="1">
      <c r="A581" s="428" t="s">
        <v>175</v>
      </c>
      <c r="B581" s="429"/>
      <c r="C581" s="99">
        <f>+C580+C463</f>
        <v>0</v>
      </c>
      <c r="D581" s="99">
        <f t="shared" ref="D581:X581" si="244">+D580+D463</f>
        <v>0</v>
      </c>
      <c r="E581" s="99">
        <f t="shared" si="244"/>
        <v>0</v>
      </c>
      <c r="F581" s="99">
        <f t="shared" si="244"/>
        <v>0</v>
      </c>
      <c r="G581" s="99">
        <f t="shared" si="244"/>
        <v>0</v>
      </c>
      <c r="H581" s="99">
        <f t="shared" si="244"/>
        <v>0</v>
      </c>
      <c r="I581" s="99">
        <f t="shared" si="244"/>
        <v>0</v>
      </c>
      <c r="J581" s="99">
        <f t="shared" si="244"/>
        <v>0</v>
      </c>
      <c r="K581" s="99">
        <f t="shared" si="244"/>
        <v>0</v>
      </c>
      <c r="L581" s="99">
        <f t="shared" si="244"/>
        <v>0</v>
      </c>
      <c r="M581" s="99">
        <f t="shared" si="244"/>
        <v>0</v>
      </c>
      <c r="N581" s="99">
        <f t="shared" si="244"/>
        <v>0</v>
      </c>
      <c r="O581" s="99">
        <f t="shared" si="244"/>
        <v>0</v>
      </c>
      <c r="P581" s="99">
        <f t="shared" si="244"/>
        <v>0</v>
      </c>
      <c r="Q581" s="99">
        <f t="shared" si="244"/>
        <v>0</v>
      </c>
      <c r="R581" s="99">
        <f t="shared" si="244"/>
        <v>0</v>
      </c>
      <c r="S581" s="99">
        <f t="shared" si="244"/>
        <v>0</v>
      </c>
      <c r="T581" s="99">
        <f t="shared" si="244"/>
        <v>0</v>
      </c>
      <c r="U581" s="99">
        <f t="shared" si="244"/>
        <v>0</v>
      </c>
      <c r="V581" s="99">
        <f t="shared" si="244"/>
        <v>0</v>
      </c>
      <c r="W581" s="99">
        <f t="shared" si="244"/>
        <v>0</v>
      </c>
      <c r="X581" s="99">
        <f t="shared" si="244"/>
        <v>0</v>
      </c>
      <c r="Y581" s="99">
        <f>+Y580+Y463</f>
        <v>0</v>
      </c>
    </row>
    <row r="582" spans="1:26" ht="21" customHeight="1">
      <c r="A582" s="432" t="s">
        <v>396</v>
      </c>
      <c r="B582" s="433"/>
      <c r="C582" s="100"/>
      <c r="D582" s="100"/>
      <c r="E582" s="100"/>
      <c r="F582" s="100"/>
      <c r="G582" s="100"/>
      <c r="H582" s="100"/>
      <c r="I582" s="100"/>
      <c r="J582" s="100"/>
      <c r="K582" s="100"/>
      <c r="L582" s="100"/>
      <c r="M582" s="100"/>
      <c r="N582" s="100"/>
      <c r="O582" s="167"/>
      <c r="P582" s="167"/>
      <c r="Q582" s="167"/>
      <c r="R582" s="100"/>
      <c r="S582" s="100"/>
      <c r="T582" s="100"/>
      <c r="U582" s="100"/>
      <c r="V582" s="100"/>
      <c r="W582" s="100"/>
      <c r="X582" s="100"/>
      <c r="Y582" s="101">
        <f>SUM(C582:X582)</f>
        <v>0</v>
      </c>
    </row>
    <row r="583" spans="1:26" ht="21" customHeight="1">
      <c r="A583" s="93">
        <v>610100</v>
      </c>
      <c r="B583" s="94" t="s">
        <v>398</v>
      </c>
      <c r="C583" s="70"/>
      <c r="D583" s="70"/>
      <c r="E583" s="70"/>
      <c r="F583" s="70"/>
      <c r="G583" s="70"/>
      <c r="H583" s="70"/>
      <c r="I583" s="70"/>
      <c r="J583" s="70"/>
      <c r="K583" s="70"/>
      <c r="L583" s="70"/>
      <c r="M583" s="70"/>
      <c r="N583" s="70"/>
      <c r="O583" s="164"/>
      <c r="P583" s="164"/>
      <c r="Q583" s="164"/>
      <c r="R583" s="70"/>
      <c r="S583" s="70"/>
      <c r="T583" s="70"/>
      <c r="U583" s="70"/>
      <c r="V583" s="70"/>
      <c r="W583" s="70"/>
      <c r="X583" s="70"/>
      <c r="Y583" s="95">
        <f>SUM(C583:X583)</f>
        <v>0</v>
      </c>
    </row>
    <row r="584" spans="1:26" ht="21" customHeight="1">
      <c r="A584" s="96">
        <v>610200</v>
      </c>
      <c r="B584" s="97" t="s">
        <v>399</v>
      </c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165"/>
      <c r="P584" s="165"/>
      <c r="Q584" s="165">
        <v>10000</v>
      </c>
      <c r="R584" s="76"/>
      <c r="S584" s="76">
        <v>41000</v>
      </c>
      <c r="T584" s="76"/>
      <c r="U584" s="76"/>
      <c r="V584" s="76"/>
      <c r="W584" s="76"/>
      <c r="X584" s="76"/>
      <c r="Y584" s="95">
        <f t="shared" ref="Y584" si="245">SUM(C584:X584)</f>
        <v>51000</v>
      </c>
    </row>
    <row r="585" spans="1:26" ht="21" customHeight="1">
      <c r="A585" s="96">
        <v>610300</v>
      </c>
      <c r="B585" s="97" t="s">
        <v>400</v>
      </c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165"/>
      <c r="P585" s="165"/>
      <c r="Q585" s="165"/>
      <c r="R585" s="76"/>
      <c r="S585" s="76"/>
      <c r="T585" s="76"/>
      <c r="U585" s="76"/>
      <c r="V585" s="76"/>
      <c r="W585" s="76"/>
      <c r="X585" s="76"/>
      <c r="Y585" s="95">
        <f>SUM(C585:X585)</f>
        <v>0</v>
      </c>
    </row>
    <row r="586" spans="1:26" ht="21" customHeight="1">
      <c r="A586" s="96">
        <v>610400</v>
      </c>
      <c r="B586" s="97" t="s">
        <v>401</v>
      </c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165"/>
      <c r="P586" s="165"/>
      <c r="Q586" s="165"/>
      <c r="R586" s="76"/>
      <c r="S586" s="76"/>
      <c r="T586" s="76"/>
      <c r="U586" s="76"/>
      <c r="V586" s="76"/>
      <c r="W586" s="76"/>
      <c r="X586" s="76"/>
      <c r="Y586" s="95">
        <f t="shared" ref="Y586" si="246">SUM(C586:X586)</f>
        <v>0</v>
      </c>
    </row>
    <row r="587" spans="1:26" ht="21" customHeight="1">
      <c r="A587" s="426" t="s">
        <v>174</v>
      </c>
      <c r="B587" s="427"/>
      <c r="C587" s="95">
        <f t="shared" ref="C587:K587" si="247">SUM(C583:C586)</f>
        <v>0</v>
      </c>
      <c r="D587" s="95">
        <f t="shared" si="247"/>
        <v>0</v>
      </c>
      <c r="E587" s="95">
        <f t="shared" si="247"/>
        <v>0</v>
      </c>
      <c r="F587" s="95">
        <f t="shared" si="247"/>
        <v>0</v>
      </c>
      <c r="G587" s="95">
        <f t="shared" si="247"/>
        <v>0</v>
      </c>
      <c r="H587" s="95">
        <f t="shared" si="247"/>
        <v>0</v>
      </c>
      <c r="I587" s="95">
        <f t="shared" si="247"/>
        <v>0</v>
      </c>
      <c r="J587" s="95">
        <f t="shared" si="247"/>
        <v>0</v>
      </c>
      <c r="K587" s="95">
        <f t="shared" si="247"/>
        <v>0</v>
      </c>
      <c r="L587" s="95">
        <f>SUM(L583:L586)</f>
        <v>0</v>
      </c>
      <c r="M587" s="95">
        <f t="shared" ref="M587:W587" si="248">SUM(M583:M586)</f>
        <v>0</v>
      </c>
      <c r="N587" s="95">
        <f t="shared" si="248"/>
        <v>0</v>
      </c>
      <c r="O587" s="95">
        <f t="shared" si="248"/>
        <v>0</v>
      </c>
      <c r="P587" s="95">
        <f t="shared" si="248"/>
        <v>0</v>
      </c>
      <c r="Q587" s="95">
        <f t="shared" si="248"/>
        <v>10000</v>
      </c>
      <c r="R587" s="95">
        <f t="shared" si="248"/>
        <v>0</v>
      </c>
      <c r="S587" s="95">
        <f t="shared" si="248"/>
        <v>41000</v>
      </c>
      <c r="T587" s="95">
        <f t="shared" si="248"/>
        <v>0</v>
      </c>
      <c r="U587" s="95">
        <f t="shared" si="248"/>
        <v>0</v>
      </c>
      <c r="V587" s="95">
        <f t="shared" si="248"/>
        <v>0</v>
      </c>
      <c r="W587" s="95">
        <f t="shared" si="248"/>
        <v>0</v>
      </c>
      <c r="X587" s="95">
        <f>SUM(X583:X586)</f>
        <v>0</v>
      </c>
      <c r="Y587" s="95">
        <f t="shared" ref="Y587" si="249">SUM(Y583:Y586)</f>
        <v>51000</v>
      </c>
      <c r="Z587" s="91">
        <f>51000</f>
        <v>51000</v>
      </c>
    </row>
    <row r="588" spans="1:26" ht="21" customHeight="1">
      <c r="A588" s="428" t="s">
        <v>175</v>
      </c>
      <c r="B588" s="429"/>
      <c r="C588" s="99">
        <f>+C587+C470</f>
        <v>20000</v>
      </c>
      <c r="D588" s="99">
        <f t="shared" ref="D588:Y588" si="250">+D587+D470</f>
        <v>0</v>
      </c>
      <c r="E588" s="99">
        <f t="shared" si="250"/>
        <v>0</v>
      </c>
      <c r="F588" s="99">
        <f t="shared" si="250"/>
        <v>0</v>
      </c>
      <c r="G588" s="99">
        <f t="shared" si="250"/>
        <v>0</v>
      </c>
      <c r="H588" s="99">
        <f t="shared" si="250"/>
        <v>1910000</v>
      </c>
      <c r="I588" s="99">
        <f t="shared" si="250"/>
        <v>0</v>
      </c>
      <c r="J588" s="99">
        <f t="shared" si="250"/>
        <v>0</v>
      </c>
      <c r="K588" s="99">
        <f t="shared" si="250"/>
        <v>0</v>
      </c>
      <c r="L588" s="99">
        <f t="shared" si="250"/>
        <v>0</v>
      </c>
      <c r="M588" s="99">
        <f t="shared" si="250"/>
        <v>0</v>
      </c>
      <c r="N588" s="99">
        <f t="shared" si="250"/>
        <v>0</v>
      </c>
      <c r="O588" s="99">
        <f t="shared" si="250"/>
        <v>0</v>
      </c>
      <c r="P588" s="99">
        <f t="shared" si="250"/>
        <v>0</v>
      </c>
      <c r="Q588" s="99">
        <f t="shared" si="250"/>
        <v>10000</v>
      </c>
      <c r="R588" s="99">
        <f t="shared" si="250"/>
        <v>0</v>
      </c>
      <c r="S588" s="99">
        <f t="shared" si="250"/>
        <v>48000</v>
      </c>
      <c r="T588" s="99">
        <f t="shared" si="250"/>
        <v>0</v>
      </c>
      <c r="U588" s="99">
        <f t="shared" si="250"/>
        <v>0</v>
      </c>
      <c r="V588" s="99">
        <f t="shared" si="250"/>
        <v>0</v>
      </c>
      <c r="W588" s="99">
        <f t="shared" si="250"/>
        <v>0</v>
      </c>
      <c r="X588" s="99">
        <f t="shared" si="250"/>
        <v>0</v>
      </c>
      <c r="Y588" s="99">
        <f t="shared" si="250"/>
        <v>1988000</v>
      </c>
    </row>
    <row r="589" spans="1:26" ht="21" customHeight="1">
      <c r="A589" s="430" t="s">
        <v>174</v>
      </c>
      <c r="B589" s="431"/>
      <c r="C589" s="44">
        <f t="shared" ref="C589:X589" si="251">SUM(C489,C497,C509,C518,C525,C544,C551,C568,C576,C580,C587)</f>
        <v>731220.97</v>
      </c>
      <c r="D589" s="44">
        <f t="shared" si="251"/>
        <v>149863.67999999999</v>
      </c>
      <c r="E589" s="44">
        <f t="shared" si="251"/>
        <v>36500</v>
      </c>
      <c r="F589" s="44">
        <f t="shared" si="251"/>
        <v>51445</v>
      </c>
      <c r="G589" s="44">
        <f t="shared" si="251"/>
        <v>93758</v>
      </c>
      <c r="H589" s="44">
        <f t="shared" si="251"/>
        <v>392500</v>
      </c>
      <c r="I589" s="44">
        <f t="shared" si="251"/>
        <v>29210</v>
      </c>
      <c r="J589" s="44">
        <f t="shared" si="251"/>
        <v>12022.5</v>
      </c>
      <c r="K589" s="44">
        <f t="shared" si="251"/>
        <v>0</v>
      </c>
      <c r="L589" s="44">
        <f t="shared" si="251"/>
        <v>110498.84</v>
      </c>
      <c r="M589" s="44">
        <f t="shared" si="251"/>
        <v>8145.2</v>
      </c>
      <c r="N589" s="44">
        <f t="shared" si="251"/>
        <v>60942.25</v>
      </c>
      <c r="O589" s="44">
        <f t="shared" si="251"/>
        <v>0</v>
      </c>
      <c r="P589" s="44">
        <f t="shared" si="251"/>
        <v>50710</v>
      </c>
      <c r="Q589" s="44">
        <f t="shared" si="251"/>
        <v>33650</v>
      </c>
      <c r="R589" s="44">
        <f t="shared" si="251"/>
        <v>0</v>
      </c>
      <c r="S589" s="44">
        <f t="shared" si="251"/>
        <v>136250.33000000002</v>
      </c>
      <c r="T589" s="44">
        <f t="shared" si="251"/>
        <v>0</v>
      </c>
      <c r="U589" s="44">
        <f t="shared" si="251"/>
        <v>0</v>
      </c>
      <c r="V589" s="44">
        <f t="shared" si="251"/>
        <v>0</v>
      </c>
      <c r="W589" s="44">
        <f t="shared" si="251"/>
        <v>184795.02</v>
      </c>
      <c r="X589" s="44">
        <f t="shared" si="251"/>
        <v>21596</v>
      </c>
      <c r="Y589" s="44">
        <f>SUM(C589:X589)</f>
        <v>2103107.79</v>
      </c>
    </row>
    <row r="590" spans="1:26" ht="21" customHeight="1">
      <c r="A590" s="430" t="s">
        <v>175</v>
      </c>
      <c r="B590" s="431"/>
      <c r="C590" s="44">
        <f t="shared" ref="C590:X590" si="252">SUM(C490,C498,C510,C519,C526,C545,C552,C569,C577,C581,C588)</f>
        <v>3436056.07</v>
      </c>
      <c r="D590" s="44">
        <f t="shared" si="252"/>
        <v>821600.79</v>
      </c>
      <c r="E590" s="44">
        <f t="shared" si="252"/>
        <v>188060</v>
      </c>
      <c r="F590" s="44">
        <f t="shared" si="252"/>
        <v>76645</v>
      </c>
      <c r="G590" s="44">
        <f t="shared" si="252"/>
        <v>420202</v>
      </c>
      <c r="H590" s="44">
        <f t="shared" si="252"/>
        <v>2512500</v>
      </c>
      <c r="I590" s="44">
        <f t="shared" si="252"/>
        <v>156250</v>
      </c>
      <c r="J590" s="44">
        <f t="shared" si="252"/>
        <v>51532.5</v>
      </c>
      <c r="K590" s="44">
        <f t="shared" si="252"/>
        <v>0</v>
      </c>
      <c r="L590" s="44">
        <f t="shared" si="252"/>
        <v>581775.93999999994</v>
      </c>
      <c r="M590" s="44">
        <f t="shared" si="252"/>
        <v>63611.299999999996</v>
      </c>
      <c r="N590" s="44">
        <f t="shared" si="252"/>
        <v>339501.41</v>
      </c>
      <c r="O590" s="44">
        <f t="shared" si="252"/>
        <v>0</v>
      </c>
      <c r="P590" s="44">
        <f t="shared" si="252"/>
        <v>269116</v>
      </c>
      <c r="Q590" s="44">
        <f t="shared" si="252"/>
        <v>93770</v>
      </c>
      <c r="R590" s="44">
        <f t="shared" si="252"/>
        <v>15180</v>
      </c>
      <c r="S590" s="44">
        <f t="shared" si="252"/>
        <v>168530.33000000002</v>
      </c>
      <c r="T590" s="44">
        <f t="shared" si="252"/>
        <v>0</v>
      </c>
      <c r="U590" s="44">
        <f t="shared" si="252"/>
        <v>0</v>
      </c>
      <c r="V590" s="44">
        <f t="shared" si="252"/>
        <v>0</v>
      </c>
      <c r="W590" s="44">
        <f t="shared" si="252"/>
        <v>361124.06999999995</v>
      </c>
      <c r="X590" s="44">
        <f t="shared" si="252"/>
        <v>673326.67999999993</v>
      </c>
      <c r="Y590" s="44">
        <f>SUM(C590:X590)</f>
        <v>10228782.089999998</v>
      </c>
      <c r="Z590" s="91">
        <f>+Y472</f>
        <v>8125674.2999999989</v>
      </c>
    </row>
    <row r="591" spans="1:26" ht="21" customHeight="1">
      <c r="Y591" s="363">
        <f>10228782.09-Y590</f>
        <v>0</v>
      </c>
    </row>
    <row r="592" spans="1:26" ht="21" customHeight="1">
      <c r="Y592" s="363">
        <f>33321700-Y590</f>
        <v>23092917.910000004</v>
      </c>
    </row>
  </sheetData>
  <mergeCells count="425">
    <mergeCell ref="A582:B582"/>
    <mergeCell ref="A587:B587"/>
    <mergeCell ref="A588:B588"/>
    <mergeCell ref="A589:B589"/>
    <mergeCell ref="A590:B590"/>
    <mergeCell ref="U570:V570"/>
    <mergeCell ref="Y570:Y571"/>
    <mergeCell ref="A571:B571"/>
    <mergeCell ref="A572:B572"/>
    <mergeCell ref="A576:B576"/>
    <mergeCell ref="A577:B577"/>
    <mergeCell ref="A578:B578"/>
    <mergeCell ref="A580:B580"/>
    <mergeCell ref="A581:B581"/>
    <mergeCell ref="A569:B569"/>
    <mergeCell ref="A570:B570"/>
    <mergeCell ref="C570:D570"/>
    <mergeCell ref="E570:F570"/>
    <mergeCell ref="G570:H570"/>
    <mergeCell ref="I570:J570"/>
    <mergeCell ref="L570:O570"/>
    <mergeCell ref="P570:Q570"/>
    <mergeCell ref="R570:T570"/>
    <mergeCell ref="Y536:Y537"/>
    <mergeCell ref="A537:B537"/>
    <mergeCell ref="A544:B544"/>
    <mergeCell ref="A545:B545"/>
    <mergeCell ref="A546:B546"/>
    <mergeCell ref="A551:B551"/>
    <mergeCell ref="A552:B552"/>
    <mergeCell ref="A553:B553"/>
    <mergeCell ref="A568:B568"/>
    <mergeCell ref="A536:B536"/>
    <mergeCell ref="C536:D536"/>
    <mergeCell ref="E536:F536"/>
    <mergeCell ref="G536:H536"/>
    <mergeCell ref="I536:J536"/>
    <mergeCell ref="L536:O536"/>
    <mergeCell ref="P536:Q536"/>
    <mergeCell ref="R536:T536"/>
    <mergeCell ref="U536:V536"/>
    <mergeCell ref="A509:B509"/>
    <mergeCell ref="A510:B510"/>
    <mergeCell ref="A511:B511"/>
    <mergeCell ref="A518:B518"/>
    <mergeCell ref="A519:B519"/>
    <mergeCell ref="A520:B520"/>
    <mergeCell ref="A525:B525"/>
    <mergeCell ref="A526:B526"/>
    <mergeCell ref="A527:B527"/>
    <mergeCell ref="E505:F505"/>
    <mergeCell ref="G505:H505"/>
    <mergeCell ref="I505:J505"/>
    <mergeCell ref="L505:O505"/>
    <mergeCell ref="P505:Q505"/>
    <mergeCell ref="R505:T505"/>
    <mergeCell ref="U505:V505"/>
    <mergeCell ref="Y505:Y506"/>
    <mergeCell ref="A506:B506"/>
    <mergeCell ref="A478:B478"/>
    <mergeCell ref="A489:B489"/>
    <mergeCell ref="A490:B490"/>
    <mergeCell ref="A491:B491"/>
    <mergeCell ref="A497:B497"/>
    <mergeCell ref="A498:B498"/>
    <mergeCell ref="A499:B499"/>
    <mergeCell ref="A505:B505"/>
    <mergeCell ref="C505:D505"/>
    <mergeCell ref="A473:N473"/>
    <mergeCell ref="P473:Y473"/>
    <mergeCell ref="A474:N474"/>
    <mergeCell ref="P474:Y474"/>
    <mergeCell ref="A475:N475"/>
    <mergeCell ref="P475:Y475"/>
    <mergeCell ref="A476:B476"/>
    <mergeCell ref="C476:D476"/>
    <mergeCell ref="E476:F476"/>
    <mergeCell ref="G476:H476"/>
    <mergeCell ref="I476:J476"/>
    <mergeCell ref="L476:O476"/>
    <mergeCell ref="P476:Q476"/>
    <mergeCell ref="R476:T476"/>
    <mergeCell ref="U476:V476"/>
    <mergeCell ref="Y476:Y477"/>
    <mergeCell ref="A477:B477"/>
    <mergeCell ref="A464:B464"/>
    <mergeCell ref="A469:B469"/>
    <mergeCell ref="A470:B470"/>
    <mergeCell ref="A471:B471"/>
    <mergeCell ref="A472:B472"/>
    <mergeCell ref="U452:V452"/>
    <mergeCell ref="Y452:Y453"/>
    <mergeCell ref="A453:B453"/>
    <mergeCell ref="A454:B454"/>
    <mergeCell ref="A458:B458"/>
    <mergeCell ref="A459:B459"/>
    <mergeCell ref="A460:B460"/>
    <mergeCell ref="A462:B462"/>
    <mergeCell ref="A463:B463"/>
    <mergeCell ref="A451:B451"/>
    <mergeCell ref="A452:B452"/>
    <mergeCell ref="C452:D452"/>
    <mergeCell ref="E452:F452"/>
    <mergeCell ref="G452:H452"/>
    <mergeCell ref="I452:J452"/>
    <mergeCell ref="L452:O452"/>
    <mergeCell ref="P452:Q452"/>
    <mergeCell ref="R452:T452"/>
    <mergeCell ref="Y418:Y419"/>
    <mergeCell ref="A419:B419"/>
    <mergeCell ref="A426:B426"/>
    <mergeCell ref="A427:B427"/>
    <mergeCell ref="A428:B428"/>
    <mergeCell ref="A433:B433"/>
    <mergeCell ref="A434:B434"/>
    <mergeCell ref="A435:B435"/>
    <mergeCell ref="A450:B450"/>
    <mergeCell ref="A418:B418"/>
    <mergeCell ref="C418:D418"/>
    <mergeCell ref="E418:F418"/>
    <mergeCell ref="G418:H418"/>
    <mergeCell ref="I418:J418"/>
    <mergeCell ref="L418:O418"/>
    <mergeCell ref="P418:Q418"/>
    <mergeCell ref="R418:T418"/>
    <mergeCell ref="U418:V418"/>
    <mergeCell ref="A391:B391"/>
    <mergeCell ref="A392:B392"/>
    <mergeCell ref="A393:B393"/>
    <mergeCell ref="A400:B400"/>
    <mergeCell ref="A401:B401"/>
    <mergeCell ref="A402:B402"/>
    <mergeCell ref="A407:B407"/>
    <mergeCell ref="A408:B408"/>
    <mergeCell ref="A409:B409"/>
    <mergeCell ref="E387:F387"/>
    <mergeCell ref="G387:H387"/>
    <mergeCell ref="I387:J387"/>
    <mergeCell ref="L387:O387"/>
    <mergeCell ref="P387:Q387"/>
    <mergeCell ref="R387:T387"/>
    <mergeCell ref="U387:V387"/>
    <mergeCell ref="Y387:Y388"/>
    <mergeCell ref="A388:B388"/>
    <mergeCell ref="A360:B360"/>
    <mergeCell ref="A371:B371"/>
    <mergeCell ref="A372:B372"/>
    <mergeCell ref="A373:B373"/>
    <mergeCell ref="A379:B379"/>
    <mergeCell ref="A380:B380"/>
    <mergeCell ref="A381:B381"/>
    <mergeCell ref="A387:B387"/>
    <mergeCell ref="C387:D387"/>
    <mergeCell ref="A355:N355"/>
    <mergeCell ref="P355:Y355"/>
    <mergeCell ref="A356:N356"/>
    <mergeCell ref="P356:Y356"/>
    <mergeCell ref="A357:N357"/>
    <mergeCell ref="P357:Y357"/>
    <mergeCell ref="A358:B358"/>
    <mergeCell ref="C358:D358"/>
    <mergeCell ref="E358:F358"/>
    <mergeCell ref="G358:H358"/>
    <mergeCell ref="I358:J358"/>
    <mergeCell ref="L358:O358"/>
    <mergeCell ref="P358:Q358"/>
    <mergeCell ref="R358:T358"/>
    <mergeCell ref="U358:V358"/>
    <mergeCell ref="Y358:Y359"/>
    <mergeCell ref="A359:B359"/>
    <mergeCell ref="A346:B346"/>
    <mergeCell ref="A351:B351"/>
    <mergeCell ref="A352:B352"/>
    <mergeCell ref="A353:B353"/>
    <mergeCell ref="A354:B354"/>
    <mergeCell ref="U334:V334"/>
    <mergeCell ref="Y334:Y335"/>
    <mergeCell ref="A335:B335"/>
    <mergeCell ref="A336:B336"/>
    <mergeCell ref="A340:B340"/>
    <mergeCell ref="A341:B341"/>
    <mergeCell ref="A342:B342"/>
    <mergeCell ref="A344:B344"/>
    <mergeCell ref="A345:B345"/>
    <mergeCell ref="A333:B333"/>
    <mergeCell ref="A334:B334"/>
    <mergeCell ref="C334:D334"/>
    <mergeCell ref="E334:F334"/>
    <mergeCell ref="G334:H334"/>
    <mergeCell ref="I334:J334"/>
    <mergeCell ref="L334:O334"/>
    <mergeCell ref="P334:Q334"/>
    <mergeCell ref="R334:T334"/>
    <mergeCell ref="Y300:Y301"/>
    <mergeCell ref="A301:B301"/>
    <mergeCell ref="A308:B308"/>
    <mergeCell ref="A309:B309"/>
    <mergeCell ref="A310:B310"/>
    <mergeCell ref="A315:B315"/>
    <mergeCell ref="A316:B316"/>
    <mergeCell ref="A317:B317"/>
    <mergeCell ref="A332:B332"/>
    <mergeCell ref="A300:B300"/>
    <mergeCell ref="C300:D300"/>
    <mergeCell ref="E300:F300"/>
    <mergeCell ref="G300:H300"/>
    <mergeCell ref="I300:J300"/>
    <mergeCell ref="L300:O300"/>
    <mergeCell ref="P300:Q300"/>
    <mergeCell ref="R300:T300"/>
    <mergeCell ref="U300:V300"/>
    <mergeCell ref="A273:B273"/>
    <mergeCell ref="A274:B274"/>
    <mergeCell ref="A275:B275"/>
    <mergeCell ref="A282:B282"/>
    <mergeCell ref="A283:B283"/>
    <mergeCell ref="A284:B284"/>
    <mergeCell ref="A289:B289"/>
    <mergeCell ref="A290:B290"/>
    <mergeCell ref="A291:B291"/>
    <mergeCell ref="E269:F269"/>
    <mergeCell ref="G269:H269"/>
    <mergeCell ref="I269:J269"/>
    <mergeCell ref="L269:O269"/>
    <mergeCell ref="P269:Q269"/>
    <mergeCell ref="R269:T269"/>
    <mergeCell ref="U269:V269"/>
    <mergeCell ref="Y269:Y270"/>
    <mergeCell ref="A270:B270"/>
    <mergeCell ref="A242:B242"/>
    <mergeCell ref="A253:B253"/>
    <mergeCell ref="A254:B254"/>
    <mergeCell ref="A255:B255"/>
    <mergeCell ref="A261:B261"/>
    <mergeCell ref="A262:B262"/>
    <mergeCell ref="A263:B263"/>
    <mergeCell ref="A269:B269"/>
    <mergeCell ref="C269:D269"/>
    <mergeCell ref="A237:N237"/>
    <mergeCell ref="P237:Y237"/>
    <mergeCell ref="A238:N238"/>
    <mergeCell ref="P238:Y238"/>
    <mergeCell ref="A239:N239"/>
    <mergeCell ref="P239:Y239"/>
    <mergeCell ref="A240:B240"/>
    <mergeCell ref="C240:D240"/>
    <mergeCell ref="E240:F240"/>
    <mergeCell ref="G240:H240"/>
    <mergeCell ref="I240:J240"/>
    <mergeCell ref="L240:O240"/>
    <mergeCell ref="P240:Q240"/>
    <mergeCell ref="R240:T240"/>
    <mergeCell ref="U240:V240"/>
    <mergeCell ref="Y240:Y241"/>
    <mergeCell ref="A241:B241"/>
    <mergeCell ref="A25:B25"/>
    <mergeCell ref="A26:B26"/>
    <mergeCell ref="A27:B27"/>
    <mergeCell ref="A33:B33"/>
    <mergeCell ref="C33:D33"/>
    <mergeCell ref="G33:H33"/>
    <mergeCell ref="I33:J33"/>
    <mergeCell ref="P33:Q33"/>
    <mergeCell ref="A1:N1"/>
    <mergeCell ref="P1:Y1"/>
    <mergeCell ref="A2:N2"/>
    <mergeCell ref="P2:Y2"/>
    <mergeCell ref="A3:N3"/>
    <mergeCell ref="P3:Y3"/>
    <mergeCell ref="Y4:Y5"/>
    <mergeCell ref="A5:B5"/>
    <mergeCell ref="A4:B4"/>
    <mergeCell ref="C4:D4"/>
    <mergeCell ref="E4:F4"/>
    <mergeCell ref="G4:H4"/>
    <mergeCell ref="I4:J4"/>
    <mergeCell ref="L4:O4"/>
    <mergeCell ref="A106:B106"/>
    <mergeCell ref="A108:B108"/>
    <mergeCell ref="A109:B109"/>
    <mergeCell ref="A97:B97"/>
    <mergeCell ref="A98:B98"/>
    <mergeCell ref="Y64:Y65"/>
    <mergeCell ref="A65:B65"/>
    <mergeCell ref="A72:B72"/>
    <mergeCell ref="A73:B73"/>
    <mergeCell ref="A74:B74"/>
    <mergeCell ref="C64:D64"/>
    <mergeCell ref="E64:F64"/>
    <mergeCell ref="G64:H64"/>
    <mergeCell ref="I64:J64"/>
    <mergeCell ref="P64:Q64"/>
    <mergeCell ref="R64:T64"/>
    <mergeCell ref="U64:V64"/>
    <mergeCell ref="L64:O64"/>
    <mergeCell ref="A79:B79"/>
    <mergeCell ref="A80:B80"/>
    <mergeCell ref="A81:B81"/>
    <mergeCell ref="A96:B96"/>
    <mergeCell ref="A64:B64"/>
    <mergeCell ref="A104:B104"/>
    <mergeCell ref="A105:B105"/>
    <mergeCell ref="C98:D98"/>
    <mergeCell ref="E98:F98"/>
    <mergeCell ref="G98:H98"/>
    <mergeCell ref="I98:J98"/>
    <mergeCell ref="P98:Q98"/>
    <mergeCell ref="R98:T98"/>
    <mergeCell ref="L98:O98"/>
    <mergeCell ref="L33:O33"/>
    <mergeCell ref="R33:T33"/>
    <mergeCell ref="U98:V98"/>
    <mergeCell ref="P4:Q4"/>
    <mergeCell ref="R4:T4"/>
    <mergeCell ref="U4:V4"/>
    <mergeCell ref="Y98:Y99"/>
    <mergeCell ref="A99:B99"/>
    <mergeCell ref="A100:B100"/>
    <mergeCell ref="A48:B48"/>
    <mergeCell ref="A53:B53"/>
    <mergeCell ref="A54:B54"/>
    <mergeCell ref="A55:B55"/>
    <mergeCell ref="E33:F33"/>
    <mergeCell ref="A37:B37"/>
    <mergeCell ref="A38:B38"/>
    <mergeCell ref="A39:B39"/>
    <mergeCell ref="A46:B46"/>
    <mergeCell ref="A47:B47"/>
    <mergeCell ref="Y33:Y34"/>
    <mergeCell ref="A34:B34"/>
    <mergeCell ref="A6:B6"/>
    <mergeCell ref="A17:B17"/>
    <mergeCell ref="A18:B18"/>
    <mergeCell ref="U33:V33"/>
    <mergeCell ref="A19:B19"/>
    <mergeCell ref="A119:N119"/>
    <mergeCell ref="P119:Y119"/>
    <mergeCell ref="A120:N120"/>
    <mergeCell ref="P120:Y120"/>
    <mergeCell ref="A121:N121"/>
    <mergeCell ref="P121:Y121"/>
    <mergeCell ref="A110:B110"/>
    <mergeCell ref="A115:B115"/>
    <mergeCell ref="A116:B116"/>
    <mergeCell ref="A117:B117"/>
    <mergeCell ref="A118:B118"/>
    <mergeCell ref="L122:O122"/>
    <mergeCell ref="P122:Q122"/>
    <mergeCell ref="R122:T122"/>
    <mergeCell ref="U122:V122"/>
    <mergeCell ref="Y122:Y123"/>
    <mergeCell ref="A122:B122"/>
    <mergeCell ref="C122:D122"/>
    <mergeCell ref="E122:F122"/>
    <mergeCell ref="G122:H122"/>
    <mergeCell ref="I122:J122"/>
    <mergeCell ref="A143:B143"/>
    <mergeCell ref="A144:B144"/>
    <mergeCell ref="A145:B145"/>
    <mergeCell ref="A151:B151"/>
    <mergeCell ref="C151:D151"/>
    <mergeCell ref="A123:B123"/>
    <mergeCell ref="A124:B124"/>
    <mergeCell ref="A135:B135"/>
    <mergeCell ref="A136:B136"/>
    <mergeCell ref="A137:B137"/>
    <mergeCell ref="R151:T151"/>
    <mergeCell ref="U151:V151"/>
    <mergeCell ref="Y151:Y152"/>
    <mergeCell ref="A152:B152"/>
    <mergeCell ref="A155:B155"/>
    <mergeCell ref="E151:F151"/>
    <mergeCell ref="G151:H151"/>
    <mergeCell ref="I151:J151"/>
    <mergeCell ref="L151:O151"/>
    <mergeCell ref="P151:Q151"/>
    <mergeCell ref="A171:B171"/>
    <mergeCell ref="A172:B172"/>
    <mergeCell ref="A173:B173"/>
    <mergeCell ref="A182:B182"/>
    <mergeCell ref="C182:D182"/>
    <mergeCell ref="A156:B156"/>
    <mergeCell ref="A157:B157"/>
    <mergeCell ref="A164:B164"/>
    <mergeCell ref="A165:B165"/>
    <mergeCell ref="A166:B166"/>
    <mergeCell ref="R182:T182"/>
    <mergeCell ref="U182:V182"/>
    <mergeCell ref="Y182:Y183"/>
    <mergeCell ref="A183:B183"/>
    <mergeCell ref="A190:B190"/>
    <mergeCell ref="E182:F182"/>
    <mergeCell ref="G182:H182"/>
    <mergeCell ref="I182:J182"/>
    <mergeCell ref="L182:O182"/>
    <mergeCell ref="P182:Q182"/>
    <mergeCell ref="A214:B214"/>
    <mergeCell ref="A215:B215"/>
    <mergeCell ref="A216:B216"/>
    <mergeCell ref="C216:D216"/>
    <mergeCell ref="E216:F216"/>
    <mergeCell ref="A191:B191"/>
    <mergeCell ref="A192:B192"/>
    <mergeCell ref="A197:B197"/>
    <mergeCell ref="A198:B198"/>
    <mergeCell ref="A199:B199"/>
    <mergeCell ref="U216:V216"/>
    <mergeCell ref="Y216:Y217"/>
    <mergeCell ref="A217:B217"/>
    <mergeCell ref="A218:B218"/>
    <mergeCell ref="A222:B222"/>
    <mergeCell ref="G216:H216"/>
    <mergeCell ref="I216:J216"/>
    <mergeCell ref="L216:O216"/>
    <mergeCell ref="P216:Q216"/>
    <mergeCell ref="R216:T216"/>
    <mergeCell ref="A233:B233"/>
    <mergeCell ref="A234:B234"/>
    <mergeCell ref="A235:B235"/>
    <mergeCell ref="A236:B236"/>
    <mergeCell ref="A223:B223"/>
    <mergeCell ref="A224:B224"/>
    <mergeCell ref="A226:B226"/>
    <mergeCell ref="A227:B227"/>
    <mergeCell ref="A228:B228"/>
  </mergeCells>
  <phoneticPr fontId="2" type="noConversion"/>
  <pageMargins left="0.39370078740157483" right="0.39370078740157483" top="0.39370078740157483" bottom="0.39370078740157483" header="0.62992125984251968" footer="0.43307086614173229"/>
  <pageSetup paperSize="9" scale="71" pageOrder="overThenDown" orientation="landscape" r:id="rId1"/>
  <headerFooter alignWithMargins="0"/>
  <rowBreaks count="15" manualBreakCount="15">
    <brk id="32" max="24" man="1"/>
    <brk id="63" max="24" man="1"/>
    <brk id="118" max="24" man="1"/>
    <brk id="150" max="24" man="1"/>
    <brk id="181" max="24" man="1"/>
    <brk id="215" max="24" man="1"/>
    <brk id="236" max="24" man="1"/>
    <brk id="268" max="24" man="1"/>
    <brk id="299" max="24" man="1"/>
    <brk id="354" max="24" man="1"/>
    <brk id="386" max="24" man="1"/>
    <brk id="417" max="24" man="1"/>
    <brk id="472" max="24" man="1"/>
    <brk id="504" max="24" man="1"/>
    <brk id="535" max="24" man="1"/>
  </rowBreaks>
  <colBreaks count="1" manualBreakCount="1">
    <brk id="15" max="589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Z119"/>
  <sheetViews>
    <sheetView view="pageBreakPreview" zoomScaleNormal="110" zoomScaleSheetLayoutView="100"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F12" sqref="F12"/>
    </sheetView>
  </sheetViews>
  <sheetFormatPr defaultRowHeight="21" customHeight="1"/>
  <cols>
    <col min="1" max="1" width="7" style="23" bestFit="1" customWidth="1"/>
    <col min="2" max="2" width="26.28515625" style="23" customWidth="1"/>
    <col min="3" max="3" width="13.85546875" style="23" customWidth="1"/>
    <col min="4" max="4" width="12.28515625" style="23" customWidth="1"/>
    <col min="5" max="5" width="12" style="23" customWidth="1"/>
    <col min="6" max="7" width="12.42578125" style="23" customWidth="1"/>
    <col min="8" max="8" width="12.5703125" style="23" customWidth="1"/>
    <col min="9" max="9" width="11.85546875" style="23" customWidth="1"/>
    <col min="10" max="10" width="12.7109375" style="23" customWidth="1"/>
    <col min="11" max="11" width="14.5703125" style="23" hidden="1" customWidth="1"/>
    <col min="12" max="12" width="11.42578125" style="23" customWidth="1"/>
    <col min="13" max="13" width="12.85546875" style="23" customWidth="1"/>
    <col min="14" max="15" width="12.28515625" style="23" customWidth="1"/>
    <col min="16" max="16" width="12.7109375" style="23" customWidth="1"/>
    <col min="17" max="17" width="12" style="23" customWidth="1"/>
    <col min="18" max="18" width="15.7109375" style="23" customWidth="1"/>
    <col min="19" max="19" width="16" style="23" customWidth="1"/>
    <col min="20" max="20" width="13.140625" style="23" customWidth="1"/>
    <col min="21" max="21" width="13" style="23" customWidth="1"/>
    <col min="22" max="22" width="14.85546875" style="23" customWidth="1"/>
    <col min="23" max="23" width="14.28515625" style="23" customWidth="1"/>
    <col min="24" max="24" width="14.42578125" style="23" customWidth="1"/>
    <col min="25" max="25" width="14.28515625" style="23" customWidth="1"/>
    <col min="26" max="26" width="15.28515625" style="91" bestFit="1" customWidth="1"/>
    <col min="27" max="27" width="11.7109375" style="23" bestFit="1" customWidth="1"/>
    <col min="28" max="28" width="12.42578125" style="23" bestFit="1" customWidth="1"/>
    <col min="29" max="16384" width="9.140625" style="23"/>
  </cols>
  <sheetData>
    <row r="1" spans="1:25" ht="21" customHeight="1">
      <c r="A1" s="440" t="s">
        <v>253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292"/>
      <c r="P1" s="441" t="str">
        <f>+A1</f>
        <v>เทศบาลตำบลเขาพระ อำเภอพิปูน จังหวัดนครศรีธรรมราช</v>
      </c>
      <c r="Q1" s="441"/>
      <c r="R1" s="441"/>
      <c r="S1" s="441"/>
      <c r="T1" s="441"/>
      <c r="U1" s="441"/>
      <c r="V1" s="441"/>
      <c r="W1" s="441"/>
      <c r="X1" s="441"/>
      <c r="Y1" s="441"/>
    </row>
    <row r="2" spans="1:25" ht="21" customHeight="1">
      <c r="A2" s="440" t="s">
        <v>405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292"/>
      <c r="P2" s="442" t="s">
        <v>384</v>
      </c>
      <c r="Q2" s="442"/>
      <c r="R2" s="442"/>
      <c r="S2" s="442"/>
      <c r="T2" s="442"/>
      <c r="U2" s="442"/>
      <c r="V2" s="442"/>
      <c r="W2" s="442"/>
      <c r="X2" s="442"/>
      <c r="Y2" s="442"/>
    </row>
    <row r="3" spans="1:25" ht="21" customHeight="1">
      <c r="A3" s="443" t="s">
        <v>324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293"/>
      <c r="P3" s="444" t="s">
        <v>324</v>
      </c>
      <c r="Q3" s="444"/>
      <c r="R3" s="444"/>
      <c r="S3" s="444"/>
      <c r="T3" s="444"/>
      <c r="U3" s="444"/>
      <c r="V3" s="444"/>
      <c r="W3" s="444"/>
      <c r="X3" s="444"/>
      <c r="Y3" s="444"/>
    </row>
    <row r="4" spans="1:25" ht="21" customHeight="1">
      <c r="A4" s="435" t="s">
        <v>139</v>
      </c>
      <c r="B4" s="435"/>
      <c r="C4" s="434" t="s">
        <v>141</v>
      </c>
      <c r="D4" s="434"/>
      <c r="E4" s="437" t="s">
        <v>144</v>
      </c>
      <c r="F4" s="438"/>
      <c r="G4" s="434" t="s">
        <v>146</v>
      </c>
      <c r="H4" s="435"/>
      <c r="I4" s="437" t="s">
        <v>160</v>
      </c>
      <c r="J4" s="438"/>
      <c r="K4" s="290" t="s">
        <v>161</v>
      </c>
      <c r="L4" s="437" t="s">
        <v>162</v>
      </c>
      <c r="M4" s="439"/>
      <c r="N4" s="439"/>
      <c r="O4" s="438"/>
      <c r="P4" s="437" t="s">
        <v>163</v>
      </c>
      <c r="Q4" s="438"/>
      <c r="R4" s="437" t="s">
        <v>164</v>
      </c>
      <c r="S4" s="439"/>
      <c r="T4" s="438"/>
      <c r="U4" s="434" t="s">
        <v>165</v>
      </c>
      <c r="V4" s="435"/>
      <c r="W4" s="290" t="s">
        <v>212</v>
      </c>
      <c r="X4" s="290" t="s">
        <v>166</v>
      </c>
      <c r="Y4" s="436" t="s">
        <v>17</v>
      </c>
    </row>
    <row r="5" spans="1:25" ht="21" customHeight="1">
      <c r="A5" s="435" t="s">
        <v>140</v>
      </c>
      <c r="B5" s="435"/>
      <c r="C5" s="290" t="s">
        <v>142</v>
      </c>
      <c r="D5" s="290" t="s">
        <v>143</v>
      </c>
      <c r="E5" s="290" t="s">
        <v>145</v>
      </c>
      <c r="F5" s="290" t="s">
        <v>214</v>
      </c>
      <c r="G5" s="290" t="s">
        <v>147</v>
      </c>
      <c r="H5" s="290" t="s">
        <v>148</v>
      </c>
      <c r="I5" s="290" t="s">
        <v>149</v>
      </c>
      <c r="J5" s="290" t="s">
        <v>150</v>
      </c>
      <c r="K5" s="290" t="s">
        <v>151</v>
      </c>
      <c r="L5" s="290" t="s">
        <v>152</v>
      </c>
      <c r="M5" s="290" t="s">
        <v>153</v>
      </c>
      <c r="N5" s="290" t="s">
        <v>238</v>
      </c>
      <c r="O5" s="290" t="s">
        <v>331</v>
      </c>
      <c r="P5" s="291" t="s">
        <v>303</v>
      </c>
      <c r="Q5" s="291" t="s">
        <v>154</v>
      </c>
      <c r="R5" s="290" t="s">
        <v>155</v>
      </c>
      <c r="S5" s="290" t="s">
        <v>156</v>
      </c>
      <c r="T5" s="290" t="s">
        <v>216</v>
      </c>
      <c r="U5" s="290" t="s">
        <v>157</v>
      </c>
      <c r="V5" s="290" t="s">
        <v>158</v>
      </c>
      <c r="W5" s="290" t="s">
        <v>213</v>
      </c>
      <c r="X5" s="290" t="s">
        <v>159</v>
      </c>
      <c r="Y5" s="436"/>
    </row>
    <row r="6" spans="1:25" ht="21" customHeight="1">
      <c r="A6" s="432" t="s">
        <v>385</v>
      </c>
      <c r="B6" s="433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163"/>
      <c r="P6" s="163"/>
      <c r="Q6" s="163"/>
      <c r="R6" s="92"/>
      <c r="S6" s="92"/>
      <c r="T6" s="92"/>
      <c r="U6" s="92"/>
      <c r="V6" s="92"/>
      <c r="W6" s="92"/>
      <c r="X6" s="92"/>
      <c r="Y6" s="92"/>
    </row>
    <row r="7" spans="1:25" ht="21" customHeight="1">
      <c r="A7" s="314">
        <v>110100</v>
      </c>
      <c r="B7" s="311" t="s">
        <v>342</v>
      </c>
      <c r="C7" s="312"/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3"/>
      <c r="P7" s="313"/>
      <c r="Q7" s="313"/>
      <c r="R7" s="312"/>
      <c r="S7" s="312"/>
      <c r="T7" s="312"/>
      <c r="U7" s="312"/>
      <c r="V7" s="312"/>
      <c r="W7" s="312"/>
      <c r="X7" s="312"/>
      <c r="Y7" s="95">
        <f>SUM(C7:X7)</f>
        <v>0</v>
      </c>
    </row>
    <row r="8" spans="1:25" ht="21" customHeight="1">
      <c r="A8" s="314">
        <v>110200</v>
      </c>
      <c r="B8" s="311" t="s">
        <v>329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3"/>
      <c r="P8" s="313"/>
      <c r="Q8" s="313"/>
      <c r="R8" s="312"/>
      <c r="S8" s="312"/>
      <c r="T8" s="312"/>
      <c r="U8" s="312"/>
      <c r="V8" s="312"/>
      <c r="W8" s="312"/>
      <c r="X8" s="312"/>
      <c r="Y8" s="95">
        <f t="shared" ref="Y8" si="0">SUM(C8:X8)</f>
        <v>0</v>
      </c>
    </row>
    <row r="9" spans="1:25" ht="21" customHeight="1">
      <c r="A9" s="93">
        <v>110300</v>
      </c>
      <c r="B9" s="94" t="s">
        <v>167</v>
      </c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64"/>
      <c r="P9" s="164"/>
      <c r="Q9" s="164"/>
      <c r="R9" s="70"/>
      <c r="S9" s="70"/>
      <c r="T9" s="70"/>
      <c r="U9" s="70"/>
      <c r="V9" s="70"/>
      <c r="W9" s="70"/>
      <c r="X9" s="70">
        <v>14350</v>
      </c>
      <c r="Y9" s="95">
        <f>SUM(C9:X9)</f>
        <v>14350</v>
      </c>
    </row>
    <row r="10" spans="1:25" ht="21" customHeight="1">
      <c r="A10" s="93">
        <v>110700</v>
      </c>
      <c r="B10" s="94" t="s">
        <v>101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164"/>
      <c r="P10" s="164"/>
      <c r="Q10" s="164"/>
      <c r="R10" s="70"/>
      <c r="S10" s="70"/>
      <c r="T10" s="70"/>
      <c r="U10" s="70"/>
      <c r="V10" s="70"/>
      <c r="W10" s="70"/>
      <c r="X10" s="70"/>
      <c r="Y10" s="95">
        <f t="shared" ref="Y10:Y15" si="1">SUM(C10:X10)</f>
        <v>0</v>
      </c>
    </row>
    <row r="11" spans="1:25" ht="21" customHeight="1">
      <c r="A11" s="93">
        <v>110800</v>
      </c>
      <c r="B11" s="94" t="s">
        <v>105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164"/>
      <c r="P11" s="164"/>
      <c r="Q11" s="164"/>
      <c r="R11" s="70"/>
      <c r="S11" s="70"/>
      <c r="T11" s="70"/>
      <c r="U11" s="70"/>
      <c r="V11" s="70"/>
      <c r="W11" s="70"/>
      <c r="X11" s="70"/>
      <c r="Y11" s="95">
        <f t="shared" si="1"/>
        <v>0</v>
      </c>
    </row>
    <row r="12" spans="1:25" ht="21" customHeight="1">
      <c r="A12" s="93">
        <v>110900</v>
      </c>
      <c r="B12" s="94" t="s">
        <v>106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164"/>
      <c r="P12" s="164"/>
      <c r="Q12" s="164"/>
      <c r="R12" s="70"/>
      <c r="S12" s="70"/>
      <c r="T12" s="70"/>
      <c r="U12" s="70"/>
      <c r="V12" s="70"/>
      <c r="W12" s="70"/>
      <c r="X12" s="70">
        <v>7500</v>
      </c>
      <c r="Y12" s="95">
        <f t="shared" si="1"/>
        <v>7500</v>
      </c>
    </row>
    <row r="13" spans="1:25" ht="21" customHeight="1">
      <c r="A13" s="93">
        <v>111000</v>
      </c>
      <c r="B13" s="94" t="s">
        <v>107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164"/>
      <c r="P13" s="164"/>
      <c r="Q13" s="164"/>
      <c r="R13" s="70"/>
      <c r="S13" s="70"/>
      <c r="T13" s="70"/>
      <c r="U13" s="70"/>
      <c r="V13" s="70"/>
      <c r="W13" s="70"/>
      <c r="X13" s="70"/>
      <c r="Y13" s="95">
        <f t="shared" si="1"/>
        <v>0</v>
      </c>
    </row>
    <row r="14" spans="1:25" ht="21" customHeight="1">
      <c r="A14" s="93">
        <v>111100</v>
      </c>
      <c r="B14" s="94" t="s">
        <v>330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164"/>
      <c r="P14" s="164"/>
      <c r="Q14" s="164"/>
      <c r="R14" s="70"/>
      <c r="S14" s="70"/>
      <c r="T14" s="70"/>
      <c r="U14" s="70"/>
      <c r="V14" s="70"/>
      <c r="W14" s="70"/>
      <c r="X14" s="70"/>
      <c r="Y14" s="95">
        <f t="shared" si="1"/>
        <v>0</v>
      </c>
    </row>
    <row r="15" spans="1:25" ht="21" customHeight="1">
      <c r="A15" s="93">
        <v>111100</v>
      </c>
      <c r="B15" s="94" t="s">
        <v>297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164"/>
      <c r="P15" s="164"/>
      <c r="Q15" s="164"/>
      <c r="R15" s="70"/>
      <c r="S15" s="70"/>
      <c r="T15" s="70"/>
      <c r="U15" s="70"/>
      <c r="V15" s="70"/>
      <c r="W15" s="70"/>
      <c r="X15" s="70"/>
      <c r="Y15" s="95">
        <f t="shared" si="1"/>
        <v>0</v>
      </c>
    </row>
    <row r="16" spans="1:25" ht="21" customHeight="1">
      <c r="A16" s="96">
        <v>120100</v>
      </c>
      <c r="B16" s="97" t="s">
        <v>168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165"/>
      <c r="P16" s="165"/>
      <c r="Q16" s="165"/>
      <c r="R16" s="76"/>
      <c r="S16" s="76"/>
      <c r="T16" s="76"/>
      <c r="U16" s="76"/>
      <c r="V16" s="76"/>
      <c r="W16" s="76"/>
      <c r="X16" s="76"/>
      <c r="Y16" s="98">
        <f>SUM(C16:X16)</f>
        <v>0</v>
      </c>
    </row>
    <row r="17" spans="1:25" ht="21" customHeight="1">
      <c r="A17" s="426" t="s">
        <v>174</v>
      </c>
      <c r="B17" s="427"/>
      <c r="C17" s="95">
        <f>SUM(C7:C16)</f>
        <v>0</v>
      </c>
      <c r="D17" s="95">
        <f t="shared" ref="D17:W17" si="2">SUM(D7:D16)</f>
        <v>0</v>
      </c>
      <c r="E17" s="95">
        <f t="shared" si="2"/>
        <v>0</v>
      </c>
      <c r="F17" s="95">
        <f t="shared" si="2"/>
        <v>0</v>
      </c>
      <c r="G17" s="95">
        <f t="shared" si="2"/>
        <v>0</v>
      </c>
      <c r="H17" s="95">
        <f t="shared" si="2"/>
        <v>0</v>
      </c>
      <c r="I17" s="95">
        <f t="shared" si="2"/>
        <v>0</v>
      </c>
      <c r="J17" s="95">
        <f t="shared" si="2"/>
        <v>0</v>
      </c>
      <c r="K17" s="95">
        <f t="shared" si="2"/>
        <v>0</v>
      </c>
      <c r="L17" s="95">
        <f t="shared" si="2"/>
        <v>0</v>
      </c>
      <c r="M17" s="95">
        <f t="shared" si="2"/>
        <v>0</v>
      </c>
      <c r="N17" s="95">
        <f t="shared" si="2"/>
        <v>0</v>
      </c>
      <c r="O17" s="95">
        <f t="shared" si="2"/>
        <v>0</v>
      </c>
      <c r="P17" s="95">
        <f t="shared" si="2"/>
        <v>0</v>
      </c>
      <c r="Q17" s="95">
        <f t="shared" si="2"/>
        <v>0</v>
      </c>
      <c r="R17" s="95">
        <f t="shared" si="2"/>
        <v>0</v>
      </c>
      <c r="S17" s="95">
        <f t="shared" si="2"/>
        <v>0</v>
      </c>
      <c r="T17" s="95">
        <f t="shared" si="2"/>
        <v>0</v>
      </c>
      <c r="U17" s="95">
        <f t="shared" si="2"/>
        <v>0</v>
      </c>
      <c r="V17" s="95">
        <f t="shared" si="2"/>
        <v>0</v>
      </c>
      <c r="W17" s="95">
        <f t="shared" si="2"/>
        <v>0</v>
      </c>
      <c r="X17" s="95">
        <f>SUM(X7:X16)</f>
        <v>21850</v>
      </c>
      <c r="Y17" s="95">
        <f>SUM(C17:X17)</f>
        <v>21850</v>
      </c>
    </row>
    <row r="18" spans="1:25" ht="21" customHeight="1">
      <c r="A18" s="428" t="s">
        <v>175</v>
      </c>
      <c r="B18" s="429"/>
      <c r="C18" s="99">
        <f>+C17</f>
        <v>0</v>
      </c>
      <c r="D18" s="99">
        <f t="shared" ref="D18:X18" si="3">+D17</f>
        <v>0</v>
      </c>
      <c r="E18" s="99">
        <f t="shared" si="3"/>
        <v>0</v>
      </c>
      <c r="F18" s="99">
        <f t="shared" si="3"/>
        <v>0</v>
      </c>
      <c r="G18" s="99">
        <f t="shared" si="3"/>
        <v>0</v>
      </c>
      <c r="H18" s="99">
        <f t="shared" si="3"/>
        <v>0</v>
      </c>
      <c r="I18" s="99">
        <f t="shared" si="3"/>
        <v>0</v>
      </c>
      <c r="J18" s="99">
        <f t="shared" si="3"/>
        <v>0</v>
      </c>
      <c r="K18" s="99">
        <f t="shared" si="3"/>
        <v>0</v>
      </c>
      <c r="L18" s="99">
        <f t="shared" si="3"/>
        <v>0</v>
      </c>
      <c r="M18" s="99">
        <f t="shared" si="3"/>
        <v>0</v>
      </c>
      <c r="N18" s="99">
        <f t="shared" si="3"/>
        <v>0</v>
      </c>
      <c r="O18" s="99">
        <f t="shared" si="3"/>
        <v>0</v>
      </c>
      <c r="P18" s="99">
        <f t="shared" si="3"/>
        <v>0</v>
      </c>
      <c r="Q18" s="99">
        <f t="shared" si="3"/>
        <v>0</v>
      </c>
      <c r="R18" s="99">
        <f t="shared" si="3"/>
        <v>0</v>
      </c>
      <c r="S18" s="99">
        <f t="shared" si="3"/>
        <v>0</v>
      </c>
      <c r="T18" s="99">
        <f t="shared" si="3"/>
        <v>0</v>
      </c>
      <c r="U18" s="99">
        <f t="shared" si="3"/>
        <v>0</v>
      </c>
      <c r="V18" s="99">
        <f t="shared" si="3"/>
        <v>0</v>
      </c>
      <c r="W18" s="99">
        <f t="shared" si="3"/>
        <v>0</v>
      </c>
      <c r="X18" s="99">
        <f t="shared" si="3"/>
        <v>21850</v>
      </c>
      <c r="Y18" s="99">
        <f>+Y17</f>
        <v>21850</v>
      </c>
    </row>
    <row r="19" spans="1:25" ht="21" customHeight="1">
      <c r="A19" s="432" t="s">
        <v>386</v>
      </c>
      <c r="B19" s="433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67"/>
      <c r="P19" s="167"/>
      <c r="Q19" s="167"/>
      <c r="R19" s="100"/>
      <c r="S19" s="100"/>
      <c r="T19" s="100"/>
      <c r="U19" s="100"/>
      <c r="V19" s="100"/>
      <c r="W19" s="100"/>
      <c r="X19" s="100"/>
      <c r="Y19" s="101">
        <f t="shared" ref="Y19:Y24" si="4">SUM(C19:X19)</f>
        <v>0</v>
      </c>
    </row>
    <row r="20" spans="1:25" ht="21" customHeight="1">
      <c r="A20" s="93">
        <v>210100</v>
      </c>
      <c r="B20" s="68" t="s">
        <v>169</v>
      </c>
      <c r="C20" s="70">
        <v>57960</v>
      </c>
      <c r="D20" s="70">
        <v>0</v>
      </c>
      <c r="E20" s="70"/>
      <c r="F20" s="70"/>
      <c r="G20" s="70"/>
      <c r="H20" s="70"/>
      <c r="I20" s="70"/>
      <c r="J20" s="70"/>
      <c r="K20" s="70"/>
      <c r="L20" s="70">
        <v>0</v>
      </c>
      <c r="M20" s="70"/>
      <c r="N20" s="70"/>
      <c r="O20" s="164"/>
      <c r="P20" s="164"/>
      <c r="Q20" s="164"/>
      <c r="R20" s="70"/>
      <c r="S20" s="70"/>
      <c r="T20" s="70"/>
      <c r="U20" s="70"/>
      <c r="V20" s="70"/>
      <c r="W20" s="70"/>
      <c r="X20" s="70"/>
      <c r="Y20" s="95">
        <f t="shared" si="4"/>
        <v>57960</v>
      </c>
    </row>
    <row r="21" spans="1:25" ht="21" customHeight="1">
      <c r="A21" s="93">
        <v>210200</v>
      </c>
      <c r="B21" s="68" t="s">
        <v>173</v>
      </c>
      <c r="C21" s="70">
        <v>10000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164"/>
      <c r="P21" s="164"/>
      <c r="Q21" s="164"/>
      <c r="R21" s="70"/>
      <c r="S21" s="70"/>
      <c r="T21" s="70"/>
      <c r="U21" s="70"/>
      <c r="V21" s="70"/>
      <c r="W21" s="70"/>
      <c r="X21" s="70"/>
      <c r="Y21" s="95">
        <f t="shared" si="4"/>
        <v>10000</v>
      </c>
    </row>
    <row r="22" spans="1:25" ht="21" customHeight="1">
      <c r="A22" s="93">
        <v>210300</v>
      </c>
      <c r="B22" s="68" t="s">
        <v>170</v>
      </c>
      <c r="C22" s="70">
        <v>10000</v>
      </c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164"/>
      <c r="P22" s="164"/>
      <c r="Q22" s="164"/>
      <c r="R22" s="70"/>
      <c r="S22" s="70"/>
      <c r="T22" s="70"/>
      <c r="U22" s="70"/>
      <c r="V22" s="70"/>
      <c r="W22" s="70"/>
      <c r="X22" s="70"/>
      <c r="Y22" s="95">
        <f t="shared" si="4"/>
        <v>10000</v>
      </c>
    </row>
    <row r="23" spans="1:25" ht="21" customHeight="1">
      <c r="A23" s="93">
        <v>210400</v>
      </c>
      <c r="B23" s="68" t="s">
        <v>171</v>
      </c>
      <c r="C23" s="70">
        <v>16560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164"/>
      <c r="P23" s="164"/>
      <c r="Q23" s="164"/>
      <c r="R23" s="70"/>
      <c r="S23" s="70"/>
      <c r="T23" s="70"/>
      <c r="U23" s="70"/>
      <c r="V23" s="70"/>
      <c r="W23" s="70"/>
      <c r="X23" s="70"/>
      <c r="Y23" s="95">
        <f t="shared" si="4"/>
        <v>16560</v>
      </c>
    </row>
    <row r="24" spans="1:25" ht="21" customHeight="1">
      <c r="A24" s="96">
        <v>210600</v>
      </c>
      <c r="B24" s="69" t="s">
        <v>172</v>
      </c>
      <c r="C24" s="70">
        <v>124200</v>
      </c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165"/>
      <c r="P24" s="165"/>
      <c r="Q24" s="165"/>
      <c r="R24" s="76"/>
      <c r="S24" s="76"/>
      <c r="T24" s="76"/>
      <c r="U24" s="76"/>
      <c r="V24" s="76"/>
      <c r="W24" s="76"/>
      <c r="X24" s="76"/>
      <c r="Y24" s="98">
        <f t="shared" si="4"/>
        <v>124200</v>
      </c>
    </row>
    <row r="25" spans="1:25" ht="21" customHeight="1">
      <c r="A25" s="426" t="s">
        <v>174</v>
      </c>
      <c r="B25" s="427"/>
      <c r="C25" s="95">
        <f>SUM(C20:C24)</f>
        <v>218720</v>
      </c>
      <c r="D25" s="95">
        <f>SUM(D19:D24)</f>
        <v>0</v>
      </c>
      <c r="E25" s="95">
        <f>SUM(E19:E24)</f>
        <v>0</v>
      </c>
      <c r="F25" s="95">
        <f t="shared" ref="F25:L25" si="5">SUM(F19:F24)</f>
        <v>0</v>
      </c>
      <c r="G25" s="95">
        <f t="shared" si="5"/>
        <v>0</v>
      </c>
      <c r="H25" s="95">
        <f t="shared" si="5"/>
        <v>0</v>
      </c>
      <c r="I25" s="95">
        <f t="shared" si="5"/>
        <v>0</v>
      </c>
      <c r="J25" s="95">
        <f t="shared" si="5"/>
        <v>0</v>
      </c>
      <c r="K25" s="95">
        <f t="shared" si="5"/>
        <v>0</v>
      </c>
      <c r="L25" s="95">
        <f t="shared" si="5"/>
        <v>0</v>
      </c>
      <c r="M25" s="95">
        <f>SUM(M19:M24)</f>
        <v>0</v>
      </c>
      <c r="N25" s="95">
        <f>SUM(N19:N24)</f>
        <v>0</v>
      </c>
      <c r="O25" s="95">
        <f>SUM(O19:O24)</f>
        <v>0</v>
      </c>
      <c r="P25" s="95">
        <f t="shared" ref="P25:Q25" si="6">SUM(P19:P24)</f>
        <v>0</v>
      </c>
      <c r="Q25" s="95">
        <f t="shared" si="6"/>
        <v>0</v>
      </c>
      <c r="R25" s="95">
        <f>SUM(R19:R24)</f>
        <v>0</v>
      </c>
      <c r="S25" s="95">
        <f>SUM(S19:S24)</f>
        <v>0</v>
      </c>
      <c r="T25" s="95"/>
      <c r="U25" s="95">
        <f>SUM(U19:U24)</f>
        <v>0</v>
      </c>
      <c r="V25" s="95">
        <f>SUM(V19:V24)</f>
        <v>0</v>
      </c>
      <c r="W25" s="95">
        <f>SUM(W19:W24)</f>
        <v>0</v>
      </c>
      <c r="X25" s="95">
        <f>SUM(X19:X24)</f>
        <v>0</v>
      </c>
      <c r="Y25" s="95">
        <f>SUM(C25:X25)</f>
        <v>218720</v>
      </c>
    </row>
    <row r="26" spans="1:25" ht="21" customHeight="1">
      <c r="A26" s="428" t="s">
        <v>175</v>
      </c>
      <c r="B26" s="429"/>
      <c r="C26" s="95">
        <f>+C25</f>
        <v>218720</v>
      </c>
      <c r="D26" s="95">
        <f t="shared" ref="D26:X26" si="7">+D25</f>
        <v>0</v>
      </c>
      <c r="E26" s="95">
        <f t="shared" si="7"/>
        <v>0</v>
      </c>
      <c r="F26" s="95">
        <f t="shared" si="7"/>
        <v>0</v>
      </c>
      <c r="G26" s="95">
        <f t="shared" si="7"/>
        <v>0</v>
      </c>
      <c r="H26" s="95">
        <f t="shared" si="7"/>
        <v>0</v>
      </c>
      <c r="I26" s="95">
        <f t="shared" si="7"/>
        <v>0</v>
      </c>
      <c r="J26" s="95">
        <f t="shared" si="7"/>
        <v>0</v>
      </c>
      <c r="K26" s="95">
        <f t="shared" si="7"/>
        <v>0</v>
      </c>
      <c r="L26" s="95">
        <f t="shared" si="7"/>
        <v>0</v>
      </c>
      <c r="M26" s="95">
        <f t="shared" si="7"/>
        <v>0</v>
      </c>
      <c r="N26" s="95">
        <f t="shared" si="7"/>
        <v>0</v>
      </c>
      <c r="O26" s="95">
        <f t="shared" si="7"/>
        <v>0</v>
      </c>
      <c r="P26" s="95">
        <f t="shared" si="7"/>
        <v>0</v>
      </c>
      <c r="Q26" s="95">
        <f t="shared" si="7"/>
        <v>0</v>
      </c>
      <c r="R26" s="95">
        <f t="shared" si="7"/>
        <v>0</v>
      </c>
      <c r="S26" s="95">
        <f t="shared" si="7"/>
        <v>0</v>
      </c>
      <c r="T26" s="95">
        <f t="shared" si="7"/>
        <v>0</v>
      </c>
      <c r="U26" s="95">
        <f t="shared" si="7"/>
        <v>0</v>
      </c>
      <c r="V26" s="95">
        <f t="shared" si="7"/>
        <v>0</v>
      </c>
      <c r="W26" s="95">
        <f t="shared" si="7"/>
        <v>0</v>
      </c>
      <c r="X26" s="95">
        <f t="shared" si="7"/>
        <v>0</v>
      </c>
      <c r="Y26" s="95">
        <f>+Y25</f>
        <v>218720</v>
      </c>
    </row>
    <row r="27" spans="1:25" ht="21" customHeight="1">
      <c r="A27" s="432" t="s">
        <v>387</v>
      </c>
      <c r="B27" s="433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67"/>
      <c r="P27" s="167"/>
      <c r="Q27" s="167"/>
      <c r="R27" s="100"/>
      <c r="S27" s="100"/>
      <c r="T27" s="100"/>
      <c r="U27" s="100"/>
      <c r="V27" s="100"/>
      <c r="W27" s="100"/>
      <c r="X27" s="100"/>
      <c r="Y27" s="101">
        <f t="shared" ref="Y27" si="8">SUM(C27:X27)</f>
        <v>0</v>
      </c>
    </row>
    <row r="28" spans="1:25" ht="21" customHeight="1">
      <c r="A28" s="93">
        <v>220100</v>
      </c>
      <c r="B28" s="68" t="s">
        <v>176</v>
      </c>
      <c r="C28" s="70">
        <v>160727</v>
      </c>
      <c r="D28" s="70">
        <v>75191.61</v>
      </c>
      <c r="E28" s="70">
        <v>21880</v>
      </c>
      <c r="F28" s="70"/>
      <c r="G28" s="70">
        <v>23370</v>
      </c>
      <c r="H28" s="70"/>
      <c r="I28" s="70"/>
      <c r="J28" s="70"/>
      <c r="K28" s="70"/>
      <c r="L28" s="70">
        <v>50950</v>
      </c>
      <c r="M28" s="70"/>
      <c r="N28" s="237"/>
      <c r="O28" s="268"/>
      <c r="P28" s="164">
        <v>18950</v>
      </c>
      <c r="Q28" s="164"/>
      <c r="R28" s="70"/>
      <c r="S28" s="70"/>
      <c r="T28" s="70"/>
      <c r="U28" s="70"/>
      <c r="V28" s="70"/>
      <c r="W28" s="70"/>
      <c r="X28" s="70"/>
      <c r="Y28" s="95">
        <f>SUM(C28:X28)</f>
        <v>351068.61</v>
      </c>
    </row>
    <row r="29" spans="1:25" ht="21" customHeight="1">
      <c r="A29" s="93">
        <v>220200</v>
      </c>
      <c r="B29" s="68" t="s">
        <v>177</v>
      </c>
      <c r="C29" s="70">
        <v>5600</v>
      </c>
      <c r="D29" s="70">
        <v>550</v>
      </c>
      <c r="E29" s="70"/>
      <c r="F29" s="70"/>
      <c r="G29" s="70"/>
      <c r="H29" s="70"/>
      <c r="I29" s="70"/>
      <c r="J29" s="70"/>
      <c r="K29" s="70"/>
      <c r="L29" s="70"/>
      <c r="M29" s="70"/>
      <c r="N29" s="238"/>
      <c r="O29" s="94"/>
      <c r="P29" s="164"/>
      <c r="Q29" s="164"/>
      <c r="R29" s="70"/>
      <c r="S29" s="70"/>
      <c r="T29" s="70"/>
      <c r="U29" s="70"/>
      <c r="V29" s="70"/>
      <c r="W29" s="70"/>
      <c r="X29" s="70"/>
      <c r="Y29" s="95">
        <f t="shared" ref="Y29:Y32" si="9">SUM(C29:X29)</f>
        <v>6150</v>
      </c>
    </row>
    <row r="30" spans="1:25" ht="21" customHeight="1">
      <c r="A30" s="93">
        <v>220300</v>
      </c>
      <c r="B30" s="68" t="s">
        <v>178</v>
      </c>
      <c r="C30" s="70">
        <v>9100</v>
      </c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238"/>
      <c r="O30" s="94"/>
      <c r="P30" s="164"/>
      <c r="Q30" s="164"/>
      <c r="R30" s="70"/>
      <c r="S30" s="70"/>
      <c r="T30" s="70"/>
      <c r="U30" s="70"/>
      <c r="V30" s="70"/>
      <c r="W30" s="70"/>
      <c r="X30" s="70"/>
      <c r="Y30" s="95">
        <f t="shared" si="9"/>
        <v>9100</v>
      </c>
    </row>
    <row r="31" spans="1:25" ht="21" customHeight="1">
      <c r="A31" s="93">
        <v>220500</v>
      </c>
      <c r="B31" s="68" t="s">
        <v>3</v>
      </c>
      <c r="C31" s="70"/>
      <c r="D31" s="70">
        <v>32710</v>
      </c>
      <c r="E31" s="70"/>
      <c r="F31" s="70"/>
      <c r="G31" s="70"/>
      <c r="H31" s="70"/>
      <c r="I31" s="70"/>
      <c r="J31" s="70"/>
      <c r="K31" s="70"/>
      <c r="L31" s="70"/>
      <c r="M31" s="70"/>
      <c r="N31" s="238"/>
      <c r="O31" s="94"/>
      <c r="P31" s="164"/>
      <c r="Q31" s="164"/>
      <c r="R31" s="70"/>
      <c r="S31" s="70"/>
      <c r="T31" s="70"/>
      <c r="U31" s="70"/>
      <c r="V31" s="70"/>
      <c r="W31" s="70"/>
      <c r="X31" s="70"/>
      <c r="Y31" s="95">
        <f t="shared" si="9"/>
        <v>32710</v>
      </c>
    </row>
    <row r="32" spans="1:25" ht="21" customHeight="1">
      <c r="A32" s="93">
        <v>220600</v>
      </c>
      <c r="B32" s="68" t="s">
        <v>179</v>
      </c>
      <c r="C32" s="70">
        <v>0</v>
      </c>
      <c r="D32" s="70">
        <v>0</v>
      </c>
      <c r="E32" s="70"/>
      <c r="F32" s="70"/>
      <c r="G32" s="70"/>
      <c r="H32" s="70"/>
      <c r="I32" s="70"/>
      <c r="J32" s="70"/>
      <c r="K32" s="70"/>
      <c r="L32" s="70">
        <v>0</v>
      </c>
      <c r="M32" s="70"/>
      <c r="N32" s="239"/>
      <c r="O32" s="165"/>
      <c r="P32" s="164"/>
      <c r="Q32" s="164"/>
      <c r="R32" s="70"/>
      <c r="S32" s="70"/>
      <c r="T32" s="70"/>
      <c r="U32" s="70"/>
      <c r="V32" s="70"/>
      <c r="W32" s="70"/>
      <c r="X32" s="70"/>
      <c r="Y32" s="95">
        <f t="shared" si="9"/>
        <v>0</v>
      </c>
    </row>
    <row r="33" spans="1:25" ht="21" customHeight="1">
      <c r="A33" s="435" t="s">
        <v>139</v>
      </c>
      <c r="B33" s="435"/>
      <c r="C33" s="434" t="s">
        <v>141</v>
      </c>
      <c r="D33" s="434"/>
      <c r="E33" s="437" t="s">
        <v>144</v>
      </c>
      <c r="F33" s="438"/>
      <c r="G33" s="434" t="s">
        <v>146</v>
      </c>
      <c r="H33" s="435"/>
      <c r="I33" s="437" t="s">
        <v>160</v>
      </c>
      <c r="J33" s="438"/>
      <c r="K33" s="290" t="s">
        <v>161</v>
      </c>
      <c r="L33" s="437" t="s">
        <v>162</v>
      </c>
      <c r="M33" s="439"/>
      <c r="N33" s="439"/>
      <c r="O33" s="438"/>
      <c r="P33" s="437" t="s">
        <v>163</v>
      </c>
      <c r="Q33" s="438"/>
      <c r="R33" s="437" t="s">
        <v>164</v>
      </c>
      <c r="S33" s="439"/>
      <c r="T33" s="438"/>
      <c r="U33" s="434" t="s">
        <v>165</v>
      </c>
      <c r="V33" s="435"/>
      <c r="W33" s="290" t="s">
        <v>212</v>
      </c>
      <c r="X33" s="290" t="s">
        <v>166</v>
      </c>
      <c r="Y33" s="436" t="s">
        <v>17</v>
      </c>
    </row>
    <row r="34" spans="1:25" ht="21" customHeight="1">
      <c r="A34" s="435" t="s">
        <v>140</v>
      </c>
      <c r="B34" s="435"/>
      <c r="C34" s="290" t="s">
        <v>142</v>
      </c>
      <c r="D34" s="290" t="s">
        <v>143</v>
      </c>
      <c r="E34" s="290" t="s">
        <v>145</v>
      </c>
      <c r="F34" s="290" t="s">
        <v>214</v>
      </c>
      <c r="G34" s="290" t="s">
        <v>147</v>
      </c>
      <c r="H34" s="290" t="s">
        <v>148</v>
      </c>
      <c r="I34" s="290" t="s">
        <v>149</v>
      </c>
      <c r="J34" s="290" t="s">
        <v>150</v>
      </c>
      <c r="K34" s="290" t="s">
        <v>151</v>
      </c>
      <c r="L34" s="290" t="s">
        <v>152</v>
      </c>
      <c r="M34" s="290" t="s">
        <v>153</v>
      </c>
      <c r="N34" s="290" t="s">
        <v>238</v>
      </c>
      <c r="O34" s="290" t="s">
        <v>331</v>
      </c>
      <c r="P34" s="291" t="s">
        <v>303</v>
      </c>
      <c r="Q34" s="291" t="s">
        <v>154</v>
      </c>
      <c r="R34" s="290" t="s">
        <v>155</v>
      </c>
      <c r="S34" s="290" t="s">
        <v>156</v>
      </c>
      <c r="T34" s="290" t="s">
        <v>216</v>
      </c>
      <c r="U34" s="290" t="s">
        <v>157</v>
      </c>
      <c r="V34" s="290" t="s">
        <v>158</v>
      </c>
      <c r="W34" s="290" t="s">
        <v>213</v>
      </c>
      <c r="X34" s="290" t="s">
        <v>159</v>
      </c>
      <c r="Y34" s="436"/>
    </row>
    <row r="35" spans="1:25" ht="21" customHeight="1">
      <c r="A35" s="93">
        <v>220700</v>
      </c>
      <c r="B35" s="68" t="s">
        <v>180</v>
      </c>
      <c r="C35" s="70">
        <v>105280</v>
      </c>
      <c r="D35" s="70">
        <v>31550</v>
      </c>
      <c r="E35" s="70">
        <v>9400</v>
      </c>
      <c r="F35" s="70"/>
      <c r="G35" s="70">
        <v>44100</v>
      </c>
      <c r="H35" s="74"/>
      <c r="I35" s="70">
        <v>37410</v>
      </c>
      <c r="J35" s="70"/>
      <c r="K35" s="70"/>
      <c r="L35" s="70">
        <v>42870</v>
      </c>
      <c r="M35" s="70"/>
      <c r="N35" s="70"/>
      <c r="O35" s="164"/>
      <c r="P35" s="164">
        <v>34021</v>
      </c>
      <c r="Q35" s="164"/>
      <c r="R35" s="70"/>
      <c r="S35" s="70"/>
      <c r="T35" s="70"/>
      <c r="U35" s="70"/>
      <c r="V35" s="70"/>
      <c r="W35" s="70"/>
      <c r="X35" s="70"/>
      <c r="Y35" s="95">
        <f>SUM(C35:X35)</f>
        <v>304631</v>
      </c>
    </row>
    <row r="36" spans="1:25" ht="21" customHeight="1">
      <c r="A36" s="96">
        <v>220800</v>
      </c>
      <c r="B36" s="69" t="s">
        <v>181</v>
      </c>
      <c r="C36" s="70">
        <v>13000</v>
      </c>
      <c r="D36" s="76">
        <v>2000</v>
      </c>
      <c r="E36" s="76">
        <v>2000</v>
      </c>
      <c r="F36" s="76"/>
      <c r="G36" s="76">
        <v>1000</v>
      </c>
      <c r="H36" s="123"/>
      <c r="I36" s="76">
        <v>2000</v>
      </c>
      <c r="J36" s="76"/>
      <c r="K36" s="76"/>
      <c r="L36" s="70">
        <v>7000</v>
      </c>
      <c r="M36" s="76"/>
      <c r="N36" s="76"/>
      <c r="O36" s="165"/>
      <c r="P36" s="165">
        <v>2000</v>
      </c>
      <c r="Q36" s="165"/>
      <c r="R36" s="76"/>
      <c r="S36" s="76"/>
      <c r="T36" s="76"/>
      <c r="U36" s="76"/>
      <c r="V36" s="76"/>
      <c r="W36" s="76"/>
      <c r="X36" s="76"/>
      <c r="Y36" s="95">
        <f>SUM(C36:X36)</f>
        <v>29000</v>
      </c>
    </row>
    <row r="37" spans="1:25" ht="21" customHeight="1">
      <c r="A37" s="426" t="s">
        <v>174</v>
      </c>
      <c r="B37" s="427"/>
      <c r="C37" s="95">
        <f>SUM(C27:C36)</f>
        <v>293707</v>
      </c>
      <c r="D37" s="95">
        <f t="shared" ref="D37:Y37" si="10">SUM(D27:D36)</f>
        <v>142001.60999999999</v>
      </c>
      <c r="E37" s="95">
        <f t="shared" si="10"/>
        <v>33280</v>
      </c>
      <c r="F37" s="95">
        <f t="shared" si="10"/>
        <v>0</v>
      </c>
      <c r="G37" s="95">
        <f t="shared" si="10"/>
        <v>68470</v>
      </c>
      <c r="H37" s="95">
        <f t="shared" si="10"/>
        <v>0</v>
      </c>
      <c r="I37" s="95">
        <f t="shared" si="10"/>
        <v>39410</v>
      </c>
      <c r="J37" s="95">
        <f t="shared" si="10"/>
        <v>0</v>
      </c>
      <c r="K37" s="95">
        <f t="shared" si="10"/>
        <v>0</v>
      </c>
      <c r="L37" s="95">
        <f t="shared" si="10"/>
        <v>100820</v>
      </c>
      <c r="M37" s="95">
        <f t="shared" si="10"/>
        <v>0</v>
      </c>
      <c r="N37" s="95">
        <f t="shared" si="10"/>
        <v>0</v>
      </c>
      <c r="O37" s="95">
        <f t="shared" si="10"/>
        <v>0</v>
      </c>
      <c r="P37" s="95">
        <f t="shared" si="10"/>
        <v>54971</v>
      </c>
      <c r="Q37" s="95">
        <f t="shared" si="10"/>
        <v>0</v>
      </c>
      <c r="R37" s="95">
        <f t="shared" si="10"/>
        <v>0</v>
      </c>
      <c r="S37" s="95">
        <f t="shared" si="10"/>
        <v>0</v>
      </c>
      <c r="T37" s="95">
        <f t="shared" si="10"/>
        <v>0</v>
      </c>
      <c r="U37" s="95">
        <f t="shared" si="10"/>
        <v>0</v>
      </c>
      <c r="V37" s="95">
        <f t="shared" si="10"/>
        <v>0</v>
      </c>
      <c r="W37" s="95">
        <f t="shared" si="10"/>
        <v>0</v>
      </c>
      <c r="X37" s="95">
        <f t="shared" si="10"/>
        <v>0</v>
      </c>
      <c r="Y37" s="95">
        <f t="shared" si="10"/>
        <v>732659.61</v>
      </c>
    </row>
    <row r="38" spans="1:25" ht="21" customHeight="1">
      <c r="A38" s="428" t="s">
        <v>175</v>
      </c>
      <c r="B38" s="429"/>
      <c r="C38" s="99">
        <f>+C37</f>
        <v>293707</v>
      </c>
      <c r="D38" s="99">
        <f t="shared" ref="D38:X38" si="11">+D37</f>
        <v>142001.60999999999</v>
      </c>
      <c r="E38" s="99">
        <f t="shared" si="11"/>
        <v>33280</v>
      </c>
      <c r="F38" s="99">
        <f t="shared" si="11"/>
        <v>0</v>
      </c>
      <c r="G38" s="99">
        <f t="shared" si="11"/>
        <v>68470</v>
      </c>
      <c r="H38" s="99">
        <f t="shared" si="11"/>
        <v>0</v>
      </c>
      <c r="I38" s="99">
        <f t="shared" si="11"/>
        <v>39410</v>
      </c>
      <c r="J38" s="99">
        <f t="shared" si="11"/>
        <v>0</v>
      </c>
      <c r="K38" s="99">
        <f t="shared" si="11"/>
        <v>0</v>
      </c>
      <c r="L38" s="99">
        <f t="shared" si="11"/>
        <v>100820</v>
      </c>
      <c r="M38" s="99">
        <f t="shared" si="11"/>
        <v>0</v>
      </c>
      <c r="N38" s="99">
        <f t="shared" si="11"/>
        <v>0</v>
      </c>
      <c r="O38" s="99">
        <f t="shared" si="11"/>
        <v>0</v>
      </c>
      <c r="P38" s="99">
        <f t="shared" si="11"/>
        <v>54971</v>
      </c>
      <c r="Q38" s="99">
        <f t="shared" si="11"/>
        <v>0</v>
      </c>
      <c r="R38" s="99">
        <f t="shared" si="11"/>
        <v>0</v>
      </c>
      <c r="S38" s="99">
        <f t="shared" si="11"/>
        <v>0</v>
      </c>
      <c r="T38" s="99">
        <f t="shared" si="11"/>
        <v>0</v>
      </c>
      <c r="U38" s="99">
        <f t="shared" si="11"/>
        <v>0</v>
      </c>
      <c r="V38" s="99">
        <f t="shared" si="11"/>
        <v>0</v>
      </c>
      <c r="W38" s="99">
        <f t="shared" si="11"/>
        <v>0</v>
      </c>
      <c r="X38" s="99">
        <f t="shared" si="11"/>
        <v>0</v>
      </c>
      <c r="Y38" s="99">
        <f>+Y37</f>
        <v>732659.61</v>
      </c>
    </row>
    <row r="39" spans="1:25" ht="21" customHeight="1">
      <c r="A39" s="432" t="s">
        <v>388</v>
      </c>
      <c r="B39" s="433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67"/>
      <c r="P39" s="167"/>
      <c r="Q39" s="167"/>
      <c r="R39" s="100"/>
      <c r="S39" s="100"/>
      <c r="T39" s="100"/>
      <c r="U39" s="100"/>
      <c r="V39" s="100"/>
      <c r="W39" s="100"/>
      <c r="X39" s="100"/>
      <c r="Y39" s="101">
        <f t="shared" ref="Y39:Y44" si="12">SUM(C39:X39)</f>
        <v>0</v>
      </c>
    </row>
    <row r="40" spans="1:25" ht="21" customHeight="1">
      <c r="A40" s="93">
        <v>310100</v>
      </c>
      <c r="B40" s="68" t="s">
        <v>182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164"/>
      <c r="P40" s="164"/>
      <c r="Q40" s="164"/>
      <c r="R40" s="70"/>
      <c r="S40" s="70"/>
      <c r="T40" s="70"/>
      <c r="U40" s="70"/>
      <c r="V40" s="70"/>
      <c r="W40" s="70"/>
      <c r="X40" s="70"/>
      <c r="Y40" s="95">
        <f t="shared" si="12"/>
        <v>0</v>
      </c>
    </row>
    <row r="41" spans="1:25" ht="21" customHeight="1">
      <c r="A41" s="93">
        <v>310200</v>
      </c>
      <c r="B41" s="68" t="s">
        <v>183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164"/>
      <c r="P41" s="164"/>
      <c r="Q41" s="164"/>
      <c r="R41" s="70"/>
      <c r="S41" s="70"/>
      <c r="T41" s="70"/>
      <c r="U41" s="70"/>
      <c r="V41" s="70"/>
      <c r="W41" s="70"/>
      <c r="X41" s="70"/>
      <c r="Y41" s="95">
        <f t="shared" si="12"/>
        <v>0</v>
      </c>
    </row>
    <row r="42" spans="1:25" ht="21" customHeight="1">
      <c r="A42" s="93">
        <v>310300</v>
      </c>
      <c r="B42" s="68" t="s">
        <v>184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64"/>
      <c r="P42" s="164"/>
      <c r="Q42" s="164"/>
      <c r="R42" s="70"/>
      <c r="S42" s="70"/>
      <c r="T42" s="70"/>
      <c r="U42" s="70"/>
      <c r="V42" s="70"/>
      <c r="W42" s="70"/>
      <c r="X42" s="70"/>
      <c r="Y42" s="95">
        <f t="shared" si="12"/>
        <v>0</v>
      </c>
    </row>
    <row r="43" spans="1:25" ht="21" customHeight="1">
      <c r="A43" s="93">
        <v>310400</v>
      </c>
      <c r="B43" s="68" t="s">
        <v>185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164"/>
      <c r="P43" s="164"/>
      <c r="Q43" s="164"/>
      <c r="R43" s="70"/>
      <c r="S43" s="70"/>
      <c r="T43" s="70"/>
      <c r="U43" s="70"/>
      <c r="V43" s="70"/>
      <c r="W43" s="70"/>
      <c r="X43" s="70"/>
      <c r="Y43" s="95">
        <f t="shared" si="12"/>
        <v>0</v>
      </c>
    </row>
    <row r="44" spans="1:25" ht="21" customHeight="1">
      <c r="A44" s="93">
        <v>310500</v>
      </c>
      <c r="B44" s="68" t="s">
        <v>186</v>
      </c>
      <c r="C44" s="70">
        <v>9750</v>
      </c>
      <c r="D44" s="70"/>
      <c r="E44" s="70"/>
      <c r="F44" s="70"/>
      <c r="G44" s="70"/>
      <c r="H44" s="70"/>
      <c r="I44" s="70"/>
      <c r="J44" s="70"/>
      <c r="K44" s="70"/>
      <c r="L44" s="70">
        <v>3300</v>
      </c>
      <c r="M44" s="70"/>
      <c r="N44" s="70"/>
      <c r="O44" s="164"/>
      <c r="P44" s="164"/>
      <c r="Q44" s="164"/>
      <c r="R44" s="70"/>
      <c r="S44" s="70"/>
      <c r="T44" s="70"/>
      <c r="U44" s="70"/>
      <c r="V44" s="70"/>
      <c r="W44" s="70"/>
      <c r="X44" s="70"/>
      <c r="Y44" s="95">
        <f t="shared" si="12"/>
        <v>13050</v>
      </c>
    </row>
    <row r="45" spans="1:25" ht="21" customHeight="1">
      <c r="A45" s="96">
        <v>310600</v>
      </c>
      <c r="B45" s="69" t="s">
        <v>187</v>
      </c>
      <c r="C45" s="70"/>
      <c r="D45" s="70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165"/>
      <c r="P45" s="165"/>
      <c r="Q45" s="165"/>
      <c r="R45" s="76"/>
      <c r="S45" s="76"/>
      <c r="T45" s="76"/>
      <c r="U45" s="76"/>
      <c r="V45" s="76"/>
      <c r="W45" s="76"/>
      <c r="X45" s="76"/>
      <c r="Y45" s="98">
        <f>SUM(C45:X45)</f>
        <v>0</v>
      </c>
    </row>
    <row r="46" spans="1:25" ht="21" customHeight="1">
      <c r="A46" s="426" t="s">
        <v>174</v>
      </c>
      <c r="B46" s="427"/>
      <c r="C46" s="95">
        <f>SUM(C40:C45)</f>
        <v>9750</v>
      </c>
      <c r="D46" s="95">
        <f t="shared" ref="D46:V46" si="13">SUM(D40:D45)</f>
        <v>0</v>
      </c>
      <c r="E46" s="95">
        <f t="shared" si="13"/>
        <v>0</v>
      </c>
      <c r="F46" s="95">
        <f t="shared" si="13"/>
        <v>0</v>
      </c>
      <c r="G46" s="95">
        <f t="shared" si="13"/>
        <v>0</v>
      </c>
      <c r="H46" s="95">
        <f t="shared" si="13"/>
        <v>0</v>
      </c>
      <c r="I46" s="95">
        <f t="shared" si="13"/>
        <v>0</v>
      </c>
      <c r="J46" s="95">
        <f t="shared" si="13"/>
        <v>0</v>
      </c>
      <c r="K46" s="95">
        <f t="shared" si="13"/>
        <v>0</v>
      </c>
      <c r="L46" s="95">
        <f t="shared" si="13"/>
        <v>3300</v>
      </c>
      <c r="M46" s="95">
        <f t="shared" si="13"/>
        <v>0</v>
      </c>
      <c r="N46" s="95">
        <f t="shared" si="13"/>
        <v>0</v>
      </c>
      <c r="O46" s="95">
        <f t="shared" si="13"/>
        <v>0</v>
      </c>
      <c r="P46" s="95">
        <f t="shared" si="13"/>
        <v>0</v>
      </c>
      <c r="Q46" s="95">
        <f t="shared" si="13"/>
        <v>0</v>
      </c>
      <c r="R46" s="95">
        <f t="shared" si="13"/>
        <v>0</v>
      </c>
      <c r="S46" s="95">
        <f t="shared" si="13"/>
        <v>0</v>
      </c>
      <c r="T46" s="95">
        <f t="shared" si="13"/>
        <v>0</v>
      </c>
      <c r="U46" s="95">
        <f t="shared" si="13"/>
        <v>0</v>
      </c>
      <c r="V46" s="95">
        <f t="shared" si="13"/>
        <v>0</v>
      </c>
      <c r="W46" s="95">
        <f>SUM(W40:W45)</f>
        <v>0</v>
      </c>
      <c r="X46" s="95">
        <f>SUM(X40:X45)</f>
        <v>0</v>
      </c>
      <c r="Y46" s="95">
        <f>SUM(C46:X46)</f>
        <v>13050</v>
      </c>
    </row>
    <row r="47" spans="1:25" ht="21" customHeight="1">
      <c r="A47" s="428" t="s">
        <v>175</v>
      </c>
      <c r="B47" s="429"/>
      <c r="C47" s="99">
        <f>+C46</f>
        <v>9750</v>
      </c>
      <c r="D47" s="99">
        <f t="shared" ref="D47:Y47" si="14">+D46</f>
        <v>0</v>
      </c>
      <c r="E47" s="99">
        <f t="shared" si="14"/>
        <v>0</v>
      </c>
      <c r="F47" s="99">
        <f t="shared" si="14"/>
        <v>0</v>
      </c>
      <c r="G47" s="99">
        <f t="shared" si="14"/>
        <v>0</v>
      </c>
      <c r="H47" s="99">
        <f t="shared" si="14"/>
        <v>0</v>
      </c>
      <c r="I47" s="99">
        <f t="shared" si="14"/>
        <v>0</v>
      </c>
      <c r="J47" s="99">
        <f t="shared" si="14"/>
        <v>0</v>
      </c>
      <c r="K47" s="99">
        <f t="shared" si="14"/>
        <v>0</v>
      </c>
      <c r="L47" s="99">
        <f t="shared" si="14"/>
        <v>3300</v>
      </c>
      <c r="M47" s="99">
        <f t="shared" si="14"/>
        <v>0</v>
      </c>
      <c r="N47" s="99">
        <f t="shared" si="14"/>
        <v>0</v>
      </c>
      <c r="O47" s="99">
        <f t="shared" si="14"/>
        <v>0</v>
      </c>
      <c r="P47" s="99">
        <f t="shared" si="14"/>
        <v>0</v>
      </c>
      <c r="Q47" s="99">
        <f t="shared" si="14"/>
        <v>0</v>
      </c>
      <c r="R47" s="99">
        <f t="shared" si="14"/>
        <v>0</v>
      </c>
      <c r="S47" s="99">
        <f t="shared" si="14"/>
        <v>0</v>
      </c>
      <c r="T47" s="99">
        <f t="shared" si="14"/>
        <v>0</v>
      </c>
      <c r="U47" s="99">
        <f t="shared" si="14"/>
        <v>0</v>
      </c>
      <c r="V47" s="99">
        <f t="shared" si="14"/>
        <v>0</v>
      </c>
      <c r="W47" s="99">
        <f t="shared" si="14"/>
        <v>0</v>
      </c>
      <c r="X47" s="99">
        <f t="shared" si="14"/>
        <v>0</v>
      </c>
      <c r="Y47" s="99">
        <f t="shared" si="14"/>
        <v>13050</v>
      </c>
    </row>
    <row r="48" spans="1:25" ht="21" customHeight="1">
      <c r="A48" s="432" t="s">
        <v>389</v>
      </c>
      <c r="B48" s="433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67"/>
      <c r="P48" s="167"/>
      <c r="Q48" s="167"/>
      <c r="R48" s="100"/>
      <c r="S48" s="100"/>
      <c r="T48" s="100"/>
      <c r="U48" s="100"/>
      <c r="V48" s="100"/>
      <c r="W48" s="100"/>
      <c r="X48" s="100"/>
      <c r="Y48" s="101">
        <f t="shared" ref="Y48" si="15">SUM(C48:X48)</f>
        <v>0</v>
      </c>
    </row>
    <row r="49" spans="1:25" ht="21" customHeight="1">
      <c r="A49" s="93">
        <v>320100</v>
      </c>
      <c r="B49" s="68" t="s">
        <v>188</v>
      </c>
      <c r="C49" s="70">
        <v>4402</v>
      </c>
      <c r="D49" s="70"/>
      <c r="E49" s="70"/>
      <c r="F49" s="70"/>
      <c r="G49" s="70"/>
      <c r="H49" s="70"/>
      <c r="I49" s="70"/>
      <c r="J49" s="70"/>
      <c r="K49" s="70"/>
      <c r="L49" s="70">
        <v>11615</v>
      </c>
      <c r="M49" s="70"/>
      <c r="N49" s="70">
        <v>14316.25</v>
      </c>
      <c r="O49" s="164"/>
      <c r="P49" s="164"/>
      <c r="Q49" s="164"/>
      <c r="R49" s="70"/>
      <c r="S49" s="70"/>
      <c r="T49" s="70"/>
      <c r="U49" s="70"/>
      <c r="V49" s="70"/>
      <c r="W49" s="70"/>
      <c r="X49" s="70"/>
      <c r="Y49" s="95">
        <f>SUM(C49:X49)</f>
        <v>30333.25</v>
      </c>
    </row>
    <row r="50" spans="1:25" ht="21" customHeight="1">
      <c r="A50" s="93">
        <v>320200</v>
      </c>
      <c r="B50" s="68" t="s">
        <v>189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164"/>
      <c r="P50" s="164"/>
      <c r="Q50" s="164"/>
      <c r="R50" s="70"/>
      <c r="S50" s="70"/>
      <c r="T50" s="70"/>
      <c r="U50" s="70"/>
      <c r="V50" s="70"/>
      <c r="W50" s="70"/>
      <c r="X50" s="70"/>
      <c r="Y50" s="95">
        <f>SUM(C50:X50)</f>
        <v>0</v>
      </c>
    </row>
    <row r="51" spans="1:25" ht="21" customHeight="1">
      <c r="A51" s="93">
        <v>320300</v>
      </c>
      <c r="B51" s="68" t="s">
        <v>190</v>
      </c>
      <c r="C51" s="70">
        <f>7013+7606</f>
        <v>14619</v>
      </c>
      <c r="D51" s="70"/>
      <c r="E51" s="70"/>
      <c r="F51" s="70"/>
      <c r="G51" s="70"/>
      <c r="H51" s="70"/>
      <c r="I51" s="70"/>
      <c r="J51" s="70"/>
      <c r="K51" s="70"/>
      <c r="L51" s="70">
        <v>4164</v>
      </c>
      <c r="M51" s="70"/>
      <c r="N51" s="70"/>
      <c r="O51" s="164"/>
      <c r="P51" s="164"/>
      <c r="Q51" s="164"/>
      <c r="R51" s="70">
        <v>12200</v>
      </c>
      <c r="S51" s="70"/>
      <c r="T51" s="70"/>
      <c r="U51" s="70"/>
      <c r="V51" s="70"/>
      <c r="W51" s="70"/>
      <c r="X51" s="70"/>
      <c r="Y51" s="95">
        <f>SUM(C51:X51)</f>
        <v>30983</v>
      </c>
    </row>
    <row r="52" spans="1:25" ht="21" customHeight="1">
      <c r="A52" s="96">
        <v>320400</v>
      </c>
      <c r="B52" s="69" t="s">
        <v>191</v>
      </c>
      <c r="C52" s="76">
        <v>22525.64</v>
      </c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>
        <v>5800</v>
      </c>
      <c r="O52" s="165"/>
      <c r="P52" s="165"/>
      <c r="Q52" s="165"/>
      <c r="R52" s="76"/>
      <c r="S52" s="76"/>
      <c r="T52" s="76"/>
      <c r="U52" s="76"/>
      <c r="V52" s="76"/>
      <c r="W52" s="76"/>
      <c r="X52" s="76"/>
      <c r="Y52" s="95">
        <f>SUM(C52:X52)</f>
        <v>28325.64</v>
      </c>
    </row>
    <row r="53" spans="1:25" ht="21" customHeight="1">
      <c r="A53" s="426" t="s">
        <v>174</v>
      </c>
      <c r="B53" s="427"/>
      <c r="C53" s="95">
        <f>SUM(C49:C52)</f>
        <v>41546.639999999999</v>
      </c>
      <c r="D53" s="95">
        <f t="shared" ref="D53:X53" si="16">SUM(D49:D52)</f>
        <v>0</v>
      </c>
      <c r="E53" s="95">
        <f t="shared" si="16"/>
        <v>0</v>
      </c>
      <c r="F53" s="95">
        <f t="shared" si="16"/>
        <v>0</v>
      </c>
      <c r="G53" s="95">
        <f t="shared" si="16"/>
        <v>0</v>
      </c>
      <c r="H53" s="95">
        <f t="shared" si="16"/>
        <v>0</v>
      </c>
      <c r="I53" s="95">
        <f t="shared" si="16"/>
        <v>0</v>
      </c>
      <c r="J53" s="95">
        <f t="shared" si="16"/>
        <v>0</v>
      </c>
      <c r="K53" s="95">
        <f t="shared" si="16"/>
        <v>0</v>
      </c>
      <c r="L53" s="95">
        <f t="shared" si="16"/>
        <v>15779</v>
      </c>
      <c r="M53" s="95">
        <f t="shared" si="16"/>
        <v>0</v>
      </c>
      <c r="N53" s="95">
        <f t="shared" si="16"/>
        <v>20116.25</v>
      </c>
      <c r="O53" s="95">
        <f t="shared" si="16"/>
        <v>0</v>
      </c>
      <c r="P53" s="95">
        <f t="shared" si="16"/>
        <v>0</v>
      </c>
      <c r="Q53" s="95">
        <f t="shared" si="16"/>
        <v>0</v>
      </c>
      <c r="R53" s="95">
        <f t="shared" si="16"/>
        <v>12200</v>
      </c>
      <c r="S53" s="95">
        <f t="shared" si="16"/>
        <v>0</v>
      </c>
      <c r="T53" s="95">
        <f t="shared" si="16"/>
        <v>0</v>
      </c>
      <c r="U53" s="95">
        <f t="shared" si="16"/>
        <v>0</v>
      </c>
      <c r="V53" s="95">
        <f t="shared" si="16"/>
        <v>0</v>
      </c>
      <c r="W53" s="95">
        <f>SUM(W49:W52)</f>
        <v>0</v>
      </c>
      <c r="X53" s="95">
        <f t="shared" si="16"/>
        <v>0</v>
      </c>
      <c r="Y53" s="95">
        <f>SUM(Y49:Y52)</f>
        <v>89641.89</v>
      </c>
    </row>
    <row r="54" spans="1:25" ht="21" customHeight="1">
      <c r="A54" s="428" t="s">
        <v>175</v>
      </c>
      <c r="B54" s="429"/>
      <c r="C54" s="99">
        <f>+C53</f>
        <v>41546.639999999999</v>
      </c>
      <c r="D54" s="99">
        <f t="shared" ref="D54:Y54" si="17">+D53</f>
        <v>0</v>
      </c>
      <c r="E54" s="99">
        <f t="shared" si="17"/>
        <v>0</v>
      </c>
      <c r="F54" s="99">
        <f t="shared" si="17"/>
        <v>0</v>
      </c>
      <c r="G54" s="99">
        <f t="shared" si="17"/>
        <v>0</v>
      </c>
      <c r="H54" s="99">
        <f t="shared" si="17"/>
        <v>0</v>
      </c>
      <c r="I54" s="99">
        <f t="shared" si="17"/>
        <v>0</v>
      </c>
      <c r="J54" s="99">
        <f t="shared" si="17"/>
        <v>0</v>
      </c>
      <c r="K54" s="99">
        <f t="shared" si="17"/>
        <v>0</v>
      </c>
      <c r="L54" s="99">
        <f t="shared" si="17"/>
        <v>15779</v>
      </c>
      <c r="M54" s="99">
        <f t="shared" si="17"/>
        <v>0</v>
      </c>
      <c r="N54" s="99">
        <f t="shared" si="17"/>
        <v>20116.25</v>
      </c>
      <c r="O54" s="99">
        <f t="shared" si="17"/>
        <v>0</v>
      </c>
      <c r="P54" s="99">
        <f t="shared" si="17"/>
        <v>0</v>
      </c>
      <c r="Q54" s="99">
        <f t="shared" si="17"/>
        <v>0</v>
      </c>
      <c r="R54" s="99">
        <f t="shared" si="17"/>
        <v>12200</v>
      </c>
      <c r="S54" s="99">
        <f t="shared" si="17"/>
        <v>0</v>
      </c>
      <c r="T54" s="99">
        <f t="shared" si="17"/>
        <v>0</v>
      </c>
      <c r="U54" s="99">
        <f t="shared" si="17"/>
        <v>0</v>
      </c>
      <c r="V54" s="99">
        <f t="shared" si="17"/>
        <v>0</v>
      </c>
      <c r="W54" s="99">
        <f t="shared" si="17"/>
        <v>0</v>
      </c>
      <c r="X54" s="99">
        <f t="shared" si="17"/>
        <v>0</v>
      </c>
      <c r="Y54" s="99">
        <f t="shared" si="17"/>
        <v>89641.89</v>
      </c>
    </row>
    <row r="55" spans="1:25" ht="21" customHeight="1">
      <c r="A55" s="432" t="s">
        <v>390</v>
      </c>
      <c r="B55" s="433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67"/>
      <c r="P55" s="167"/>
      <c r="Q55" s="167"/>
      <c r="R55" s="100"/>
      <c r="S55" s="100"/>
      <c r="T55" s="100"/>
      <c r="U55" s="100"/>
      <c r="V55" s="100"/>
      <c r="W55" s="100"/>
      <c r="X55" s="100"/>
      <c r="Y55" s="101">
        <f>SUM(C55:X55)</f>
        <v>0</v>
      </c>
    </row>
    <row r="56" spans="1:25" ht="21" customHeight="1">
      <c r="A56" s="93">
        <v>330100</v>
      </c>
      <c r="B56" s="68" t="s">
        <v>192</v>
      </c>
      <c r="C56" s="70">
        <f>10806+5550</f>
        <v>16356</v>
      </c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164"/>
      <c r="P56" s="164"/>
      <c r="Q56" s="164"/>
      <c r="R56" s="70"/>
      <c r="S56" s="70"/>
      <c r="T56" s="70"/>
      <c r="U56" s="70"/>
      <c r="V56" s="70"/>
      <c r="W56" s="70"/>
      <c r="X56" s="70"/>
      <c r="Y56" s="95">
        <f>SUM(C56:X56)</f>
        <v>16356</v>
      </c>
    </row>
    <row r="57" spans="1:25" ht="21" customHeight="1">
      <c r="A57" s="93">
        <v>330200</v>
      </c>
      <c r="B57" s="68" t="s">
        <v>193</v>
      </c>
      <c r="C57" s="70">
        <v>1720</v>
      </c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164"/>
      <c r="P57" s="164"/>
      <c r="Q57" s="164"/>
      <c r="R57" s="70"/>
      <c r="S57" s="70"/>
      <c r="T57" s="70"/>
      <c r="U57" s="70"/>
      <c r="V57" s="70"/>
      <c r="W57" s="70"/>
      <c r="X57" s="70"/>
      <c r="Y57" s="95">
        <f t="shared" ref="Y57:Y61" si="18">SUM(C57:X57)</f>
        <v>1720</v>
      </c>
    </row>
    <row r="58" spans="1:25" ht="21" customHeight="1">
      <c r="A58" s="93">
        <v>330300</v>
      </c>
      <c r="B58" s="68" t="s">
        <v>235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164"/>
      <c r="P58" s="164"/>
      <c r="Q58" s="164"/>
      <c r="R58" s="70"/>
      <c r="S58" s="70"/>
      <c r="T58" s="70"/>
      <c r="U58" s="70"/>
      <c r="V58" s="70"/>
      <c r="W58" s="70"/>
      <c r="X58" s="70"/>
      <c r="Y58" s="95">
        <f t="shared" si="18"/>
        <v>0</v>
      </c>
    </row>
    <row r="59" spans="1:25" ht="21" customHeight="1">
      <c r="A59" s="93">
        <v>330400</v>
      </c>
      <c r="B59" s="68" t="s">
        <v>210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164"/>
      <c r="P59" s="164"/>
      <c r="Q59" s="164"/>
      <c r="R59" s="70"/>
      <c r="S59" s="70"/>
      <c r="T59" s="70"/>
      <c r="U59" s="70"/>
      <c r="V59" s="70"/>
      <c r="W59" s="70"/>
      <c r="X59" s="70"/>
      <c r="Y59" s="95">
        <f t="shared" si="18"/>
        <v>0</v>
      </c>
    </row>
    <row r="60" spans="1:25" ht="21" customHeight="1">
      <c r="A60" s="93">
        <v>330600</v>
      </c>
      <c r="B60" s="68" t="s">
        <v>194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164"/>
      <c r="P60" s="164"/>
      <c r="Q60" s="164"/>
      <c r="R60" s="70"/>
      <c r="S60" s="70"/>
      <c r="T60" s="70"/>
      <c r="U60" s="70"/>
      <c r="V60" s="70"/>
      <c r="W60" s="70"/>
      <c r="X60" s="70"/>
      <c r="Y60" s="95">
        <f t="shared" si="18"/>
        <v>0</v>
      </c>
    </row>
    <row r="61" spans="1:25" ht="21" customHeight="1">
      <c r="A61" s="93">
        <v>330700</v>
      </c>
      <c r="B61" s="68" t="s">
        <v>310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164"/>
      <c r="P61" s="164"/>
      <c r="Q61" s="164"/>
      <c r="R61" s="70"/>
      <c r="S61" s="70"/>
      <c r="T61" s="70"/>
      <c r="U61" s="70"/>
      <c r="V61" s="70"/>
      <c r="W61" s="70"/>
      <c r="X61" s="70"/>
      <c r="Y61" s="95">
        <f t="shared" si="18"/>
        <v>0</v>
      </c>
    </row>
    <row r="62" spans="1:25" ht="21" customHeight="1">
      <c r="A62" s="93">
        <v>330800</v>
      </c>
      <c r="B62" s="68" t="s">
        <v>195</v>
      </c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164"/>
      <c r="P62" s="164"/>
      <c r="Q62" s="164"/>
      <c r="R62" s="70"/>
      <c r="S62" s="70"/>
      <c r="T62" s="70"/>
      <c r="U62" s="70"/>
      <c r="V62" s="70"/>
      <c r="W62" s="70"/>
      <c r="X62" s="70"/>
      <c r="Y62" s="95">
        <f>SUM(C62:X62)</f>
        <v>0</v>
      </c>
    </row>
    <row r="63" spans="1:25" ht="21" customHeight="1">
      <c r="A63" s="93">
        <v>330900</v>
      </c>
      <c r="B63" s="68" t="s">
        <v>197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164"/>
      <c r="P63" s="164"/>
      <c r="Q63" s="164"/>
      <c r="R63" s="70"/>
      <c r="S63" s="70"/>
      <c r="T63" s="70"/>
      <c r="U63" s="70"/>
      <c r="V63" s="70"/>
      <c r="W63" s="70"/>
      <c r="X63" s="70"/>
      <c r="Y63" s="95">
        <f t="shared" ref="Y63" si="19">SUM(C63:X63)</f>
        <v>0</v>
      </c>
    </row>
    <row r="64" spans="1:25" ht="21" customHeight="1">
      <c r="A64" s="435" t="s">
        <v>139</v>
      </c>
      <c r="B64" s="435"/>
      <c r="C64" s="434" t="s">
        <v>141</v>
      </c>
      <c r="D64" s="434"/>
      <c r="E64" s="437" t="s">
        <v>144</v>
      </c>
      <c r="F64" s="438"/>
      <c r="G64" s="434" t="s">
        <v>146</v>
      </c>
      <c r="H64" s="435"/>
      <c r="I64" s="437" t="s">
        <v>160</v>
      </c>
      <c r="J64" s="438"/>
      <c r="K64" s="290" t="s">
        <v>161</v>
      </c>
      <c r="L64" s="437" t="s">
        <v>162</v>
      </c>
      <c r="M64" s="439"/>
      <c r="N64" s="439"/>
      <c r="O64" s="438"/>
      <c r="P64" s="437" t="s">
        <v>163</v>
      </c>
      <c r="Q64" s="438"/>
      <c r="R64" s="437" t="s">
        <v>164</v>
      </c>
      <c r="S64" s="439"/>
      <c r="T64" s="438"/>
      <c r="U64" s="434" t="s">
        <v>165</v>
      </c>
      <c r="V64" s="435"/>
      <c r="W64" s="290" t="s">
        <v>212</v>
      </c>
      <c r="X64" s="290" t="s">
        <v>166</v>
      </c>
      <c r="Y64" s="436" t="s">
        <v>17</v>
      </c>
    </row>
    <row r="65" spans="1:26" ht="21" customHeight="1">
      <c r="A65" s="435" t="s">
        <v>140</v>
      </c>
      <c r="B65" s="435"/>
      <c r="C65" s="290" t="s">
        <v>142</v>
      </c>
      <c r="D65" s="290" t="s">
        <v>143</v>
      </c>
      <c r="E65" s="290" t="s">
        <v>145</v>
      </c>
      <c r="F65" s="290" t="s">
        <v>214</v>
      </c>
      <c r="G65" s="290" t="s">
        <v>147</v>
      </c>
      <c r="H65" s="290" t="s">
        <v>148</v>
      </c>
      <c r="I65" s="290" t="s">
        <v>149</v>
      </c>
      <c r="J65" s="290" t="s">
        <v>150</v>
      </c>
      <c r="K65" s="290" t="s">
        <v>151</v>
      </c>
      <c r="L65" s="290" t="s">
        <v>152</v>
      </c>
      <c r="M65" s="290" t="s">
        <v>153</v>
      </c>
      <c r="N65" s="290" t="s">
        <v>238</v>
      </c>
      <c r="O65" s="290" t="s">
        <v>331</v>
      </c>
      <c r="P65" s="291" t="s">
        <v>303</v>
      </c>
      <c r="Q65" s="291" t="s">
        <v>154</v>
      </c>
      <c r="R65" s="290" t="s">
        <v>155</v>
      </c>
      <c r="S65" s="290" t="s">
        <v>156</v>
      </c>
      <c r="T65" s="290" t="s">
        <v>216</v>
      </c>
      <c r="U65" s="290" t="s">
        <v>157</v>
      </c>
      <c r="V65" s="290" t="s">
        <v>158</v>
      </c>
      <c r="W65" s="290" t="s">
        <v>213</v>
      </c>
      <c r="X65" s="290" t="s">
        <v>159</v>
      </c>
      <c r="Y65" s="436"/>
    </row>
    <row r="66" spans="1:26" ht="21" customHeight="1">
      <c r="A66" s="224">
        <v>331000</v>
      </c>
      <c r="B66" s="227" t="s">
        <v>300</v>
      </c>
      <c r="C66" s="228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6"/>
      <c r="P66" s="226"/>
      <c r="Q66" s="226"/>
      <c r="R66" s="225"/>
      <c r="S66" s="225"/>
      <c r="T66" s="225"/>
      <c r="U66" s="225"/>
      <c r="V66" s="225"/>
      <c r="W66" s="225"/>
      <c r="X66" s="225"/>
      <c r="Y66" s="95">
        <f>SUM(C66:X66)</f>
        <v>0</v>
      </c>
    </row>
    <row r="67" spans="1:26" ht="21" customHeight="1">
      <c r="A67" s="93">
        <v>331200</v>
      </c>
      <c r="B67" s="68" t="s">
        <v>198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164"/>
      <c r="P67" s="164"/>
      <c r="Q67" s="164"/>
      <c r="R67" s="70"/>
      <c r="S67" s="70"/>
      <c r="T67" s="70"/>
      <c r="U67" s="70"/>
      <c r="V67" s="70"/>
      <c r="W67" s="70"/>
      <c r="X67" s="70"/>
      <c r="Y67" s="95">
        <f>SUM(C67:X67)</f>
        <v>0</v>
      </c>
    </row>
    <row r="68" spans="1:26" ht="21" customHeight="1">
      <c r="A68" s="93">
        <v>331300</v>
      </c>
      <c r="B68" s="68" t="s">
        <v>199</v>
      </c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164"/>
      <c r="P68" s="164"/>
      <c r="Q68" s="164"/>
      <c r="R68" s="70"/>
      <c r="S68" s="70"/>
      <c r="T68" s="70"/>
      <c r="U68" s="70"/>
      <c r="V68" s="70"/>
      <c r="W68" s="70"/>
      <c r="X68" s="70"/>
      <c r="Y68" s="95">
        <f t="shared" ref="Y68:Y71" si="20">SUM(C68:X68)</f>
        <v>0</v>
      </c>
    </row>
    <row r="69" spans="1:26" ht="21" customHeight="1">
      <c r="A69" s="93">
        <v>331400</v>
      </c>
      <c r="B69" s="68" t="s">
        <v>196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164"/>
      <c r="P69" s="164"/>
      <c r="Q69" s="164"/>
      <c r="R69" s="70"/>
      <c r="S69" s="70"/>
      <c r="T69" s="70"/>
      <c r="U69" s="70"/>
      <c r="V69" s="70"/>
      <c r="W69" s="70"/>
      <c r="X69" s="70"/>
      <c r="Y69" s="95">
        <f t="shared" si="20"/>
        <v>0</v>
      </c>
    </row>
    <row r="70" spans="1:26" ht="21" customHeight="1">
      <c r="A70" s="93">
        <v>331500</v>
      </c>
      <c r="B70" s="68" t="s">
        <v>200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164"/>
      <c r="P70" s="164"/>
      <c r="Q70" s="164"/>
      <c r="R70" s="70"/>
      <c r="S70" s="70"/>
      <c r="T70" s="70"/>
      <c r="U70" s="70"/>
      <c r="V70" s="70"/>
      <c r="W70" s="70"/>
      <c r="X70" s="70"/>
      <c r="Y70" s="95">
        <f t="shared" si="20"/>
        <v>0</v>
      </c>
    </row>
    <row r="71" spans="1:26" ht="21" customHeight="1">
      <c r="A71" s="96">
        <v>331700</v>
      </c>
      <c r="B71" s="69" t="s">
        <v>201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165"/>
      <c r="P71" s="165"/>
      <c r="Q71" s="165"/>
      <c r="R71" s="76"/>
      <c r="S71" s="76"/>
      <c r="T71" s="76"/>
      <c r="U71" s="76"/>
      <c r="V71" s="76"/>
      <c r="W71" s="76"/>
      <c r="X71" s="76"/>
      <c r="Y71" s="95">
        <f t="shared" si="20"/>
        <v>0</v>
      </c>
    </row>
    <row r="72" spans="1:26" ht="21" customHeight="1">
      <c r="A72" s="426" t="s">
        <v>174</v>
      </c>
      <c r="B72" s="427"/>
      <c r="C72" s="95">
        <f t="shared" ref="C72:X72" si="21">SUM(C56:C71)</f>
        <v>18076</v>
      </c>
      <c r="D72" s="95">
        <f t="shared" si="21"/>
        <v>0</v>
      </c>
      <c r="E72" s="95">
        <f t="shared" si="21"/>
        <v>0</v>
      </c>
      <c r="F72" s="95">
        <f t="shared" si="21"/>
        <v>0</v>
      </c>
      <c r="G72" s="95">
        <f t="shared" si="21"/>
        <v>0</v>
      </c>
      <c r="H72" s="95">
        <f t="shared" si="21"/>
        <v>0</v>
      </c>
      <c r="I72" s="95">
        <f t="shared" si="21"/>
        <v>0</v>
      </c>
      <c r="J72" s="95">
        <f t="shared" si="21"/>
        <v>0</v>
      </c>
      <c r="K72" s="95">
        <f t="shared" si="21"/>
        <v>0</v>
      </c>
      <c r="L72" s="95">
        <f t="shared" si="21"/>
        <v>0</v>
      </c>
      <c r="M72" s="95">
        <f t="shared" si="21"/>
        <v>0</v>
      </c>
      <c r="N72" s="95">
        <f t="shared" si="21"/>
        <v>0</v>
      </c>
      <c r="O72" s="95">
        <f t="shared" si="21"/>
        <v>0</v>
      </c>
      <c r="P72" s="95">
        <f t="shared" si="21"/>
        <v>0</v>
      </c>
      <c r="Q72" s="95">
        <f t="shared" si="21"/>
        <v>0</v>
      </c>
      <c r="R72" s="95">
        <f t="shared" si="21"/>
        <v>0</v>
      </c>
      <c r="S72" s="95">
        <f t="shared" si="21"/>
        <v>0</v>
      </c>
      <c r="T72" s="95">
        <f t="shared" si="21"/>
        <v>0</v>
      </c>
      <c r="U72" s="95">
        <f t="shared" si="21"/>
        <v>0</v>
      </c>
      <c r="V72" s="95">
        <f t="shared" si="21"/>
        <v>0</v>
      </c>
      <c r="W72" s="95">
        <f t="shared" si="21"/>
        <v>0</v>
      </c>
      <c r="X72" s="95">
        <f t="shared" si="21"/>
        <v>0</v>
      </c>
      <c r="Y72" s="95">
        <f>SUM(Y56:Y71)</f>
        <v>18076</v>
      </c>
      <c r="Z72" s="91">
        <f>+Y72-18076</f>
        <v>0</v>
      </c>
    </row>
    <row r="73" spans="1:26" ht="21" customHeight="1">
      <c r="A73" s="428" t="s">
        <v>175</v>
      </c>
      <c r="B73" s="429"/>
      <c r="C73" s="99">
        <f>+C72</f>
        <v>18076</v>
      </c>
      <c r="D73" s="99">
        <f t="shared" ref="D73:Y73" si="22">+D72</f>
        <v>0</v>
      </c>
      <c r="E73" s="99">
        <f t="shared" si="22"/>
        <v>0</v>
      </c>
      <c r="F73" s="99">
        <f t="shared" si="22"/>
        <v>0</v>
      </c>
      <c r="G73" s="99">
        <f t="shared" si="22"/>
        <v>0</v>
      </c>
      <c r="H73" s="99">
        <f t="shared" si="22"/>
        <v>0</v>
      </c>
      <c r="I73" s="99">
        <f t="shared" si="22"/>
        <v>0</v>
      </c>
      <c r="J73" s="99">
        <f t="shared" si="22"/>
        <v>0</v>
      </c>
      <c r="K73" s="99">
        <f t="shared" si="22"/>
        <v>0</v>
      </c>
      <c r="L73" s="99">
        <f t="shared" si="22"/>
        <v>0</v>
      </c>
      <c r="M73" s="99">
        <f t="shared" si="22"/>
        <v>0</v>
      </c>
      <c r="N73" s="99">
        <f t="shared" si="22"/>
        <v>0</v>
      </c>
      <c r="O73" s="99">
        <f t="shared" si="22"/>
        <v>0</v>
      </c>
      <c r="P73" s="99">
        <f t="shared" si="22"/>
        <v>0</v>
      </c>
      <c r="Q73" s="99">
        <f t="shared" si="22"/>
        <v>0</v>
      </c>
      <c r="R73" s="99">
        <f t="shared" si="22"/>
        <v>0</v>
      </c>
      <c r="S73" s="99">
        <f t="shared" si="22"/>
        <v>0</v>
      </c>
      <c r="T73" s="99">
        <f t="shared" si="22"/>
        <v>0</v>
      </c>
      <c r="U73" s="99">
        <f t="shared" si="22"/>
        <v>0</v>
      </c>
      <c r="V73" s="99">
        <f t="shared" si="22"/>
        <v>0</v>
      </c>
      <c r="W73" s="99">
        <f t="shared" si="22"/>
        <v>0</v>
      </c>
      <c r="X73" s="99">
        <f t="shared" si="22"/>
        <v>0</v>
      </c>
      <c r="Y73" s="99">
        <f t="shared" si="22"/>
        <v>18076</v>
      </c>
    </row>
    <row r="74" spans="1:26" ht="21" customHeight="1">
      <c r="A74" s="432" t="s">
        <v>391</v>
      </c>
      <c r="B74" s="433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67"/>
      <c r="P74" s="167"/>
      <c r="Q74" s="167"/>
      <c r="R74" s="100"/>
      <c r="S74" s="100"/>
      <c r="T74" s="100"/>
      <c r="U74" s="100"/>
      <c r="V74" s="100"/>
      <c r="W74" s="100"/>
      <c r="X74" s="100"/>
      <c r="Y74" s="101">
        <f t="shared" ref="Y74" si="23">SUM(C74:X74)</f>
        <v>0</v>
      </c>
    </row>
    <row r="75" spans="1:26" ht="21" customHeight="1">
      <c r="A75" s="93">
        <v>340100</v>
      </c>
      <c r="B75" s="68" t="s">
        <v>202</v>
      </c>
      <c r="C75" s="70">
        <v>23345.200000000001</v>
      </c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164"/>
      <c r="P75" s="164"/>
      <c r="Q75" s="164"/>
      <c r="R75" s="70"/>
      <c r="S75" s="70"/>
      <c r="T75" s="70"/>
      <c r="U75" s="70"/>
      <c r="V75" s="70"/>
      <c r="W75" s="70">
        <v>46895.35</v>
      </c>
      <c r="X75" s="70"/>
      <c r="Y75" s="95">
        <f>SUM(C75:X75)</f>
        <v>70240.55</v>
      </c>
    </row>
    <row r="76" spans="1:26" ht="21" customHeight="1">
      <c r="A76" s="93">
        <v>340300</v>
      </c>
      <c r="B76" s="68" t="s">
        <v>203</v>
      </c>
      <c r="C76" s="70">
        <v>426.88</v>
      </c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164"/>
      <c r="P76" s="164"/>
      <c r="Q76" s="164"/>
      <c r="R76" s="70"/>
      <c r="S76" s="70"/>
      <c r="T76" s="70"/>
      <c r="U76" s="70"/>
      <c r="V76" s="70"/>
      <c r="W76" s="70"/>
      <c r="X76" s="70"/>
      <c r="Y76" s="95">
        <f t="shared" ref="Y76:Y78" si="24">SUM(C76:X76)</f>
        <v>426.88</v>
      </c>
    </row>
    <row r="77" spans="1:26" ht="21" customHeight="1">
      <c r="A77" s="93">
        <v>340400</v>
      </c>
      <c r="B77" s="68" t="s">
        <v>204</v>
      </c>
      <c r="C77" s="70">
        <v>3746</v>
      </c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164"/>
      <c r="P77" s="164"/>
      <c r="Q77" s="164"/>
      <c r="R77" s="70"/>
      <c r="S77" s="70"/>
      <c r="T77" s="70"/>
      <c r="U77" s="70"/>
      <c r="V77" s="70"/>
      <c r="W77" s="70"/>
      <c r="X77" s="70"/>
      <c r="Y77" s="95">
        <f t="shared" si="24"/>
        <v>3746</v>
      </c>
    </row>
    <row r="78" spans="1:26" ht="21" customHeight="1">
      <c r="A78" s="96">
        <v>340500</v>
      </c>
      <c r="B78" s="69" t="s">
        <v>205</v>
      </c>
      <c r="C78" s="70">
        <v>8560</v>
      </c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165"/>
      <c r="P78" s="165"/>
      <c r="Q78" s="165"/>
      <c r="R78" s="76"/>
      <c r="S78" s="76"/>
      <c r="T78" s="76"/>
      <c r="U78" s="76"/>
      <c r="V78" s="76"/>
      <c r="W78" s="76"/>
      <c r="X78" s="76"/>
      <c r="Y78" s="98">
        <f t="shared" si="24"/>
        <v>8560</v>
      </c>
    </row>
    <row r="79" spans="1:26" ht="21" customHeight="1">
      <c r="A79" s="426" t="s">
        <v>174</v>
      </c>
      <c r="B79" s="427"/>
      <c r="C79" s="95">
        <f>SUM(C75:C78)</f>
        <v>36078.080000000002</v>
      </c>
      <c r="D79" s="95">
        <f t="shared" ref="D79:Y79" si="25">SUM(D75:D78)</f>
        <v>0</v>
      </c>
      <c r="E79" s="95">
        <f t="shared" si="25"/>
        <v>0</v>
      </c>
      <c r="F79" s="95">
        <f t="shared" si="25"/>
        <v>0</v>
      </c>
      <c r="G79" s="95">
        <f t="shared" si="25"/>
        <v>0</v>
      </c>
      <c r="H79" s="95">
        <f t="shared" si="25"/>
        <v>0</v>
      </c>
      <c r="I79" s="95">
        <f t="shared" si="25"/>
        <v>0</v>
      </c>
      <c r="J79" s="95">
        <f t="shared" si="25"/>
        <v>0</v>
      </c>
      <c r="K79" s="95">
        <f t="shared" si="25"/>
        <v>0</v>
      </c>
      <c r="L79" s="95">
        <f t="shared" si="25"/>
        <v>0</v>
      </c>
      <c r="M79" s="95">
        <f t="shared" si="25"/>
        <v>0</v>
      </c>
      <c r="N79" s="95">
        <f t="shared" si="25"/>
        <v>0</v>
      </c>
      <c r="O79" s="95">
        <f t="shared" si="25"/>
        <v>0</v>
      </c>
      <c r="P79" s="95">
        <f t="shared" si="25"/>
        <v>0</v>
      </c>
      <c r="Q79" s="95">
        <f t="shared" si="25"/>
        <v>0</v>
      </c>
      <c r="R79" s="95">
        <f t="shared" si="25"/>
        <v>0</v>
      </c>
      <c r="S79" s="95">
        <f t="shared" si="25"/>
        <v>0</v>
      </c>
      <c r="T79" s="95">
        <f t="shared" si="25"/>
        <v>0</v>
      </c>
      <c r="U79" s="95">
        <f t="shared" si="25"/>
        <v>0</v>
      </c>
      <c r="V79" s="95">
        <f t="shared" si="25"/>
        <v>0</v>
      </c>
      <c r="W79" s="95">
        <f t="shared" si="25"/>
        <v>46895.35</v>
      </c>
      <c r="X79" s="95">
        <f t="shared" si="25"/>
        <v>0</v>
      </c>
      <c r="Y79" s="95">
        <f t="shared" si="25"/>
        <v>82973.430000000008</v>
      </c>
    </row>
    <row r="80" spans="1:26" ht="21" customHeight="1">
      <c r="A80" s="428" t="s">
        <v>175</v>
      </c>
      <c r="B80" s="429"/>
      <c r="C80" s="99">
        <f>+C79</f>
        <v>36078.080000000002</v>
      </c>
      <c r="D80" s="99">
        <f t="shared" ref="D80:Y80" si="26">+D79</f>
        <v>0</v>
      </c>
      <c r="E80" s="99">
        <f t="shared" si="26"/>
        <v>0</v>
      </c>
      <c r="F80" s="99">
        <f t="shared" si="26"/>
        <v>0</v>
      </c>
      <c r="G80" s="99">
        <f t="shared" si="26"/>
        <v>0</v>
      </c>
      <c r="H80" s="99">
        <f t="shared" si="26"/>
        <v>0</v>
      </c>
      <c r="I80" s="99">
        <f t="shared" si="26"/>
        <v>0</v>
      </c>
      <c r="J80" s="99">
        <f t="shared" si="26"/>
        <v>0</v>
      </c>
      <c r="K80" s="99">
        <f t="shared" si="26"/>
        <v>0</v>
      </c>
      <c r="L80" s="99">
        <f t="shared" si="26"/>
        <v>0</v>
      </c>
      <c r="M80" s="99">
        <f t="shared" si="26"/>
        <v>0</v>
      </c>
      <c r="N80" s="99">
        <f t="shared" si="26"/>
        <v>0</v>
      </c>
      <c r="O80" s="99">
        <f t="shared" si="26"/>
        <v>0</v>
      </c>
      <c r="P80" s="99">
        <f t="shared" si="26"/>
        <v>0</v>
      </c>
      <c r="Q80" s="99">
        <f t="shared" si="26"/>
        <v>0</v>
      </c>
      <c r="R80" s="99">
        <f t="shared" si="26"/>
        <v>0</v>
      </c>
      <c r="S80" s="99">
        <f t="shared" si="26"/>
        <v>0</v>
      </c>
      <c r="T80" s="99">
        <f t="shared" si="26"/>
        <v>0</v>
      </c>
      <c r="U80" s="99">
        <f t="shared" si="26"/>
        <v>0</v>
      </c>
      <c r="V80" s="99">
        <f t="shared" si="26"/>
        <v>0</v>
      </c>
      <c r="W80" s="99">
        <f t="shared" si="26"/>
        <v>46895.35</v>
      </c>
      <c r="X80" s="99">
        <f t="shared" si="26"/>
        <v>0</v>
      </c>
      <c r="Y80" s="99">
        <f t="shared" si="26"/>
        <v>82973.430000000008</v>
      </c>
    </row>
    <row r="81" spans="1:25" ht="21" customHeight="1">
      <c r="A81" s="432" t="s">
        <v>392</v>
      </c>
      <c r="B81" s="433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67"/>
      <c r="P81" s="167"/>
      <c r="Q81" s="167"/>
      <c r="R81" s="100"/>
      <c r="S81" s="100"/>
      <c r="T81" s="100"/>
      <c r="U81" s="100"/>
      <c r="V81" s="100"/>
      <c r="W81" s="100"/>
      <c r="X81" s="100"/>
      <c r="Y81" s="101">
        <f t="shared" ref="Y81:Y93" si="27">SUM(C81:X81)</f>
        <v>0</v>
      </c>
    </row>
    <row r="82" spans="1:25" ht="21" customHeight="1">
      <c r="A82" s="93">
        <v>410400</v>
      </c>
      <c r="B82" s="68" t="s">
        <v>206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164"/>
      <c r="P82" s="164"/>
      <c r="Q82" s="164"/>
      <c r="R82" s="70"/>
      <c r="S82" s="70"/>
      <c r="T82" s="70"/>
      <c r="U82" s="70"/>
      <c r="V82" s="70"/>
      <c r="W82" s="70"/>
      <c r="X82" s="70"/>
      <c r="Y82" s="95">
        <f t="shared" si="27"/>
        <v>0</v>
      </c>
    </row>
    <row r="83" spans="1:25" ht="21" customHeight="1">
      <c r="A83" s="93">
        <v>410200</v>
      </c>
      <c r="B83" s="68" t="s">
        <v>224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164"/>
      <c r="P83" s="164"/>
      <c r="Q83" s="164"/>
      <c r="R83" s="70"/>
      <c r="S83" s="70"/>
      <c r="T83" s="70"/>
      <c r="U83" s="70"/>
      <c r="V83" s="70"/>
      <c r="W83" s="70"/>
      <c r="X83" s="70"/>
      <c r="Y83" s="95">
        <f t="shared" si="27"/>
        <v>0</v>
      </c>
    </row>
    <row r="84" spans="1:25" ht="21" customHeight="1">
      <c r="A84" s="93">
        <v>410300</v>
      </c>
      <c r="B84" s="68" t="s">
        <v>207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164"/>
      <c r="P84" s="164"/>
      <c r="Q84" s="164"/>
      <c r="R84" s="70"/>
      <c r="S84" s="70"/>
      <c r="T84" s="70"/>
      <c r="U84" s="70"/>
      <c r="V84" s="70"/>
      <c r="W84" s="70"/>
      <c r="X84" s="70"/>
      <c r="Y84" s="95">
        <f t="shared" si="27"/>
        <v>0</v>
      </c>
    </row>
    <row r="85" spans="1:25" ht="21" customHeight="1">
      <c r="A85" s="93">
        <v>410400</v>
      </c>
      <c r="B85" s="68" t="s">
        <v>225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165"/>
      <c r="P85" s="165"/>
      <c r="Q85" s="165"/>
      <c r="R85" s="76"/>
      <c r="S85" s="76"/>
      <c r="T85" s="76"/>
      <c r="U85" s="76"/>
      <c r="V85" s="76"/>
      <c r="W85" s="76"/>
      <c r="X85" s="76"/>
      <c r="Y85" s="95">
        <f t="shared" si="27"/>
        <v>0</v>
      </c>
    </row>
    <row r="86" spans="1:25" ht="21" customHeight="1">
      <c r="A86" s="93">
        <v>410500</v>
      </c>
      <c r="B86" s="68" t="s">
        <v>226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165"/>
      <c r="P86" s="165"/>
      <c r="Q86" s="165"/>
      <c r="R86" s="76"/>
      <c r="S86" s="76"/>
      <c r="T86" s="76"/>
      <c r="U86" s="76"/>
      <c r="V86" s="76"/>
      <c r="W86" s="76"/>
      <c r="X86" s="76"/>
      <c r="Y86" s="95">
        <f t="shared" si="27"/>
        <v>0</v>
      </c>
    </row>
    <row r="87" spans="1:25" ht="21" customHeight="1">
      <c r="A87" s="93">
        <v>410600</v>
      </c>
      <c r="B87" s="68" t="s">
        <v>227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165"/>
      <c r="P87" s="165"/>
      <c r="Q87" s="165"/>
      <c r="R87" s="76"/>
      <c r="S87" s="76"/>
      <c r="T87" s="76"/>
      <c r="U87" s="76"/>
      <c r="V87" s="76"/>
      <c r="W87" s="76"/>
      <c r="X87" s="76"/>
      <c r="Y87" s="95">
        <f t="shared" si="27"/>
        <v>0</v>
      </c>
    </row>
    <row r="88" spans="1:25" ht="21" customHeight="1">
      <c r="A88" s="93">
        <v>410700</v>
      </c>
      <c r="B88" s="68" t="s">
        <v>208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164"/>
      <c r="P88" s="164"/>
      <c r="Q88" s="164"/>
      <c r="R88" s="70"/>
      <c r="S88" s="70"/>
      <c r="T88" s="70"/>
      <c r="U88" s="70"/>
      <c r="V88" s="70"/>
      <c r="W88" s="70"/>
      <c r="X88" s="70"/>
      <c r="Y88" s="95">
        <f t="shared" si="27"/>
        <v>0</v>
      </c>
    </row>
    <row r="89" spans="1:25" ht="21" hidden="1" customHeight="1">
      <c r="A89" s="93">
        <v>410800</v>
      </c>
      <c r="B89" s="68" t="s">
        <v>228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165"/>
      <c r="P89" s="165"/>
      <c r="Q89" s="165"/>
      <c r="R89" s="76"/>
      <c r="S89" s="76"/>
      <c r="T89" s="76"/>
      <c r="U89" s="76"/>
      <c r="V89" s="76"/>
      <c r="W89" s="76"/>
      <c r="X89" s="76"/>
      <c r="Y89" s="95">
        <f t="shared" si="27"/>
        <v>0</v>
      </c>
    </row>
    <row r="90" spans="1:25" ht="21" hidden="1" customHeight="1">
      <c r="A90" s="93">
        <v>410900</v>
      </c>
      <c r="B90" s="68" t="s">
        <v>243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165"/>
      <c r="P90" s="165"/>
      <c r="Q90" s="165"/>
      <c r="R90" s="76"/>
      <c r="S90" s="76"/>
      <c r="T90" s="76"/>
      <c r="U90" s="76"/>
      <c r="V90" s="76"/>
      <c r="W90" s="76"/>
      <c r="X90" s="76"/>
      <c r="Y90" s="95">
        <f t="shared" si="27"/>
        <v>0</v>
      </c>
    </row>
    <row r="91" spans="1:25" ht="21" customHeight="1">
      <c r="A91" s="93">
        <v>411000</v>
      </c>
      <c r="B91" s="68" t="s">
        <v>295</v>
      </c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165"/>
      <c r="P91" s="165"/>
      <c r="Q91" s="165"/>
      <c r="R91" s="76"/>
      <c r="S91" s="76"/>
      <c r="T91" s="76"/>
      <c r="U91" s="76"/>
      <c r="V91" s="76"/>
      <c r="W91" s="76"/>
      <c r="X91" s="76"/>
      <c r="Y91" s="95">
        <f t="shared" si="27"/>
        <v>0</v>
      </c>
    </row>
    <row r="92" spans="1:25" ht="21" customHeight="1">
      <c r="A92" s="93">
        <v>411100</v>
      </c>
      <c r="B92" s="68" t="s">
        <v>260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165"/>
      <c r="P92" s="165"/>
      <c r="Q92" s="165"/>
      <c r="R92" s="76"/>
      <c r="S92" s="76"/>
      <c r="T92" s="76"/>
      <c r="U92" s="76"/>
      <c r="V92" s="76"/>
      <c r="W92" s="76"/>
      <c r="X92" s="76"/>
      <c r="Y92" s="95">
        <f t="shared" si="27"/>
        <v>0</v>
      </c>
    </row>
    <row r="93" spans="1:25" ht="21" customHeight="1">
      <c r="A93" s="93">
        <v>411300</v>
      </c>
      <c r="B93" s="68" t="s">
        <v>296</v>
      </c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165"/>
      <c r="P93" s="165"/>
      <c r="Q93" s="165"/>
      <c r="R93" s="76"/>
      <c r="S93" s="76"/>
      <c r="T93" s="76"/>
      <c r="U93" s="76"/>
      <c r="V93" s="76"/>
      <c r="W93" s="76"/>
      <c r="X93" s="76"/>
      <c r="Y93" s="95">
        <f t="shared" si="27"/>
        <v>0</v>
      </c>
    </row>
    <row r="94" spans="1:25" ht="21" customHeight="1">
      <c r="A94" s="93">
        <v>411600</v>
      </c>
      <c r="B94" s="68" t="s">
        <v>229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164"/>
      <c r="P94" s="164"/>
      <c r="Q94" s="164"/>
      <c r="R94" s="70"/>
      <c r="S94" s="70"/>
      <c r="T94" s="70"/>
      <c r="U94" s="70"/>
      <c r="V94" s="70"/>
      <c r="W94" s="70"/>
      <c r="X94" s="70"/>
      <c r="Y94" s="95">
        <f>SUM(C94:X94)</f>
        <v>0</v>
      </c>
    </row>
    <row r="95" spans="1:25" ht="21" customHeight="1">
      <c r="A95" s="93">
        <v>411800</v>
      </c>
      <c r="B95" s="68" t="s">
        <v>209</v>
      </c>
      <c r="C95" s="70"/>
      <c r="D95" s="70"/>
      <c r="E95" s="70"/>
      <c r="F95" s="70"/>
      <c r="G95" s="70">
        <v>0</v>
      </c>
      <c r="H95" s="70"/>
      <c r="I95" s="70"/>
      <c r="J95" s="70"/>
      <c r="K95" s="70"/>
      <c r="L95" s="70"/>
      <c r="M95" s="70"/>
      <c r="N95" s="70"/>
      <c r="O95" s="164"/>
      <c r="P95" s="164"/>
      <c r="Q95" s="164"/>
      <c r="R95" s="70"/>
      <c r="S95" s="70"/>
      <c r="T95" s="70"/>
      <c r="U95" s="70"/>
      <c r="V95" s="70"/>
      <c r="W95" s="70">
        <v>0</v>
      </c>
      <c r="X95" s="70"/>
      <c r="Y95" s="95">
        <f>SUM(C95:X95)</f>
        <v>0</v>
      </c>
    </row>
    <row r="96" spans="1:25" ht="21" customHeight="1">
      <c r="A96" s="426" t="s">
        <v>174</v>
      </c>
      <c r="B96" s="427"/>
      <c r="C96" s="95">
        <f>SUM(C82:C95)</f>
        <v>0</v>
      </c>
      <c r="D96" s="95">
        <f t="shared" ref="D96:P96" si="28">SUM(D82:D95)</f>
        <v>0</v>
      </c>
      <c r="E96" s="95">
        <f t="shared" si="28"/>
        <v>0</v>
      </c>
      <c r="F96" s="95">
        <f t="shared" si="28"/>
        <v>0</v>
      </c>
      <c r="G96" s="95">
        <f t="shared" si="28"/>
        <v>0</v>
      </c>
      <c r="H96" s="95">
        <f t="shared" si="28"/>
        <v>0</v>
      </c>
      <c r="I96" s="95">
        <f t="shared" si="28"/>
        <v>0</v>
      </c>
      <c r="J96" s="95">
        <f t="shared" si="28"/>
        <v>0</v>
      </c>
      <c r="K96" s="95">
        <f t="shared" si="28"/>
        <v>0</v>
      </c>
      <c r="L96" s="95">
        <f t="shared" si="28"/>
        <v>0</v>
      </c>
      <c r="M96" s="95">
        <f t="shared" si="28"/>
        <v>0</v>
      </c>
      <c r="N96" s="95">
        <f t="shared" si="28"/>
        <v>0</v>
      </c>
      <c r="O96" s="95">
        <f t="shared" si="28"/>
        <v>0</v>
      </c>
      <c r="P96" s="95">
        <f t="shared" si="28"/>
        <v>0</v>
      </c>
      <c r="Q96" s="166">
        <f>SUM(Q82:Q95)</f>
        <v>0</v>
      </c>
      <c r="R96" s="95">
        <f>SUM(R82:R95)</f>
        <v>0</v>
      </c>
      <c r="S96" s="95">
        <f>SUM(S82:S95)</f>
        <v>0</v>
      </c>
      <c r="T96" s="95"/>
      <c r="U96" s="95">
        <f>SUM(U82:U95)</f>
        <v>0</v>
      </c>
      <c r="V96" s="95">
        <f>SUM(V82:V95)</f>
        <v>0</v>
      </c>
      <c r="W96" s="95">
        <f>SUM(W82:W95)</f>
        <v>0</v>
      </c>
      <c r="X96" s="95">
        <f>SUM(X82:X95)</f>
        <v>0</v>
      </c>
      <c r="Y96" s="95">
        <f>SUM(C96:X96)</f>
        <v>0</v>
      </c>
    </row>
    <row r="97" spans="1:25" ht="21" customHeight="1">
      <c r="A97" s="428" t="s">
        <v>175</v>
      </c>
      <c r="B97" s="429"/>
      <c r="C97" s="99">
        <f>+C96</f>
        <v>0</v>
      </c>
      <c r="D97" s="99">
        <f t="shared" ref="D97:Y97" si="29">+D96</f>
        <v>0</v>
      </c>
      <c r="E97" s="99">
        <f t="shared" si="29"/>
        <v>0</v>
      </c>
      <c r="F97" s="99">
        <f t="shared" si="29"/>
        <v>0</v>
      </c>
      <c r="G97" s="99">
        <f t="shared" si="29"/>
        <v>0</v>
      </c>
      <c r="H97" s="99">
        <f t="shared" si="29"/>
        <v>0</v>
      </c>
      <c r="I97" s="99">
        <f t="shared" si="29"/>
        <v>0</v>
      </c>
      <c r="J97" s="99">
        <f t="shared" si="29"/>
        <v>0</v>
      </c>
      <c r="K97" s="99">
        <f t="shared" si="29"/>
        <v>0</v>
      </c>
      <c r="L97" s="99">
        <f t="shared" si="29"/>
        <v>0</v>
      </c>
      <c r="M97" s="99">
        <f t="shared" si="29"/>
        <v>0</v>
      </c>
      <c r="N97" s="99">
        <f t="shared" si="29"/>
        <v>0</v>
      </c>
      <c r="O97" s="99">
        <f t="shared" si="29"/>
        <v>0</v>
      </c>
      <c r="P97" s="99">
        <f t="shared" si="29"/>
        <v>0</v>
      </c>
      <c r="Q97" s="99">
        <f t="shared" si="29"/>
        <v>0</v>
      </c>
      <c r="R97" s="99">
        <f t="shared" si="29"/>
        <v>0</v>
      </c>
      <c r="S97" s="99">
        <f t="shared" si="29"/>
        <v>0</v>
      </c>
      <c r="T97" s="99">
        <f t="shared" si="29"/>
        <v>0</v>
      </c>
      <c r="U97" s="99">
        <f t="shared" si="29"/>
        <v>0</v>
      </c>
      <c r="V97" s="99">
        <f t="shared" si="29"/>
        <v>0</v>
      </c>
      <c r="W97" s="99">
        <f t="shared" si="29"/>
        <v>0</v>
      </c>
      <c r="X97" s="99">
        <f t="shared" si="29"/>
        <v>0</v>
      </c>
      <c r="Y97" s="99">
        <f t="shared" si="29"/>
        <v>0</v>
      </c>
    </row>
    <row r="98" spans="1:25" ht="21" customHeight="1">
      <c r="A98" s="435" t="s">
        <v>139</v>
      </c>
      <c r="B98" s="435"/>
      <c r="C98" s="434" t="s">
        <v>141</v>
      </c>
      <c r="D98" s="434"/>
      <c r="E98" s="437" t="s">
        <v>144</v>
      </c>
      <c r="F98" s="438"/>
      <c r="G98" s="434" t="s">
        <v>146</v>
      </c>
      <c r="H98" s="435"/>
      <c r="I98" s="437" t="s">
        <v>160</v>
      </c>
      <c r="J98" s="438"/>
      <c r="K98" s="290" t="s">
        <v>161</v>
      </c>
      <c r="L98" s="437" t="s">
        <v>162</v>
      </c>
      <c r="M98" s="439"/>
      <c r="N98" s="439"/>
      <c r="O98" s="438"/>
      <c r="P98" s="437" t="s">
        <v>163</v>
      </c>
      <c r="Q98" s="438"/>
      <c r="R98" s="437" t="s">
        <v>164</v>
      </c>
      <c r="S98" s="439"/>
      <c r="T98" s="438"/>
      <c r="U98" s="434" t="s">
        <v>165</v>
      </c>
      <c r="V98" s="435"/>
      <c r="W98" s="290" t="s">
        <v>212</v>
      </c>
      <c r="X98" s="290" t="s">
        <v>166</v>
      </c>
      <c r="Y98" s="436" t="s">
        <v>17</v>
      </c>
    </row>
    <row r="99" spans="1:25" ht="21" customHeight="1">
      <c r="A99" s="435" t="s">
        <v>140</v>
      </c>
      <c r="B99" s="435"/>
      <c r="C99" s="290" t="s">
        <v>142</v>
      </c>
      <c r="D99" s="290" t="s">
        <v>143</v>
      </c>
      <c r="E99" s="290" t="s">
        <v>145</v>
      </c>
      <c r="F99" s="290" t="s">
        <v>214</v>
      </c>
      <c r="G99" s="290" t="s">
        <v>147</v>
      </c>
      <c r="H99" s="290" t="s">
        <v>148</v>
      </c>
      <c r="I99" s="290" t="s">
        <v>149</v>
      </c>
      <c r="J99" s="290" t="s">
        <v>150</v>
      </c>
      <c r="K99" s="290" t="s">
        <v>151</v>
      </c>
      <c r="L99" s="290" t="s">
        <v>152</v>
      </c>
      <c r="M99" s="290" t="s">
        <v>153</v>
      </c>
      <c r="N99" s="290" t="s">
        <v>238</v>
      </c>
      <c r="O99" s="269" t="s">
        <v>331</v>
      </c>
      <c r="P99" s="291" t="s">
        <v>303</v>
      </c>
      <c r="Q99" s="291" t="s">
        <v>154</v>
      </c>
      <c r="R99" s="290" t="s">
        <v>155</v>
      </c>
      <c r="S99" s="290" t="s">
        <v>156</v>
      </c>
      <c r="T99" s="290" t="s">
        <v>216</v>
      </c>
      <c r="U99" s="290" t="s">
        <v>157</v>
      </c>
      <c r="V99" s="290" t="s">
        <v>158</v>
      </c>
      <c r="W99" s="290" t="s">
        <v>213</v>
      </c>
      <c r="X99" s="290" t="s">
        <v>159</v>
      </c>
      <c r="Y99" s="436"/>
    </row>
    <row r="100" spans="1:25" ht="21" customHeight="1">
      <c r="A100" s="432" t="s">
        <v>393</v>
      </c>
      <c r="B100" s="433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67"/>
      <c r="P100" s="167"/>
      <c r="Q100" s="167"/>
      <c r="R100" s="100"/>
      <c r="S100" s="100"/>
      <c r="T100" s="100"/>
      <c r="U100" s="100"/>
      <c r="V100" s="100"/>
      <c r="W100" s="100"/>
      <c r="X100" s="100"/>
      <c r="Y100" s="101">
        <f>SUM(C100:X100)</f>
        <v>0</v>
      </c>
    </row>
    <row r="101" spans="1:25" ht="21" customHeight="1">
      <c r="A101" s="93">
        <v>420700</v>
      </c>
      <c r="B101" s="94" t="s">
        <v>394</v>
      </c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164"/>
      <c r="P101" s="164"/>
      <c r="Q101" s="164"/>
      <c r="R101" s="70"/>
      <c r="S101" s="70"/>
      <c r="T101" s="70"/>
      <c r="U101" s="70"/>
      <c r="V101" s="70"/>
      <c r="W101" s="70"/>
      <c r="X101" s="70"/>
      <c r="Y101" s="95">
        <f>SUM(C101:X101)</f>
        <v>0</v>
      </c>
    </row>
    <row r="102" spans="1:25" ht="21" customHeight="1">
      <c r="A102" s="96">
        <v>421000</v>
      </c>
      <c r="B102" s="97" t="s">
        <v>395</v>
      </c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165"/>
      <c r="P102" s="165"/>
      <c r="Q102" s="165"/>
      <c r="R102" s="76"/>
      <c r="S102" s="76"/>
      <c r="T102" s="76"/>
      <c r="U102" s="76"/>
      <c r="V102" s="76"/>
      <c r="W102" s="76"/>
      <c r="X102" s="76"/>
      <c r="Y102" s="95">
        <f t="shared" ref="Y102:Y103" si="30">SUM(C102:X102)</f>
        <v>0</v>
      </c>
    </row>
    <row r="103" spans="1:25" ht="21" customHeight="1">
      <c r="A103" s="96">
        <v>421100</v>
      </c>
      <c r="B103" s="97" t="s">
        <v>211</v>
      </c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165"/>
      <c r="P103" s="165"/>
      <c r="Q103" s="165"/>
      <c r="R103" s="76"/>
      <c r="S103" s="76"/>
      <c r="T103" s="76"/>
      <c r="U103" s="76"/>
      <c r="V103" s="76"/>
      <c r="W103" s="76"/>
      <c r="X103" s="76"/>
      <c r="Y103" s="95">
        <f t="shared" si="30"/>
        <v>0</v>
      </c>
    </row>
    <row r="104" spans="1:25" ht="21" customHeight="1">
      <c r="A104" s="426" t="s">
        <v>174</v>
      </c>
      <c r="B104" s="427"/>
      <c r="C104" s="95">
        <f>SUM(C101:C103)</f>
        <v>0</v>
      </c>
      <c r="D104" s="95">
        <f t="shared" ref="D104:W104" si="31">SUM(D101:D103)</f>
        <v>0</v>
      </c>
      <c r="E104" s="95">
        <f t="shared" si="31"/>
        <v>0</v>
      </c>
      <c r="F104" s="95">
        <f t="shared" si="31"/>
        <v>0</v>
      </c>
      <c r="G104" s="95">
        <f t="shared" si="31"/>
        <v>0</v>
      </c>
      <c r="H104" s="95">
        <f t="shared" si="31"/>
        <v>0</v>
      </c>
      <c r="I104" s="95">
        <f t="shared" si="31"/>
        <v>0</v>
      </c>
      <c r="J104" s="95">
        <f t="shared" si="31"/>
        <v>0</v>
      </c>
      <c r="K104" s="95">
        <f t="shared" si="31"/>
        <v>0</v>
      </c>
      <c r="L104" s="95">
        <f t="shared" si="31"/>
        <v>0</v>
      </c>
      <c r="M104" s="95">
        <f t="shared" si="31"/>
        <v>0</v>
      </c>
      <c r="N104" s="95">
        <f t="shared" si="31"/>
        <v>0</v>
      </c>
      <c r="O104" s="95">
        <f t="shared" si="31"/>
        <v>0</v>
      </c>
      <c r="P104" s="95">
        <f t="shared" si="31"/>
        <v>0</v>
      </c>
      <c r="Q104" s="95">
        <f t="shared" si="31"/>
        <v>0</v>
      </c>
      <c r="R104" s="95">
        <f t="shared" si="31"/>
        <v>0</v>
      </c>
      <c r="S104" s="95">
        <f t="shared" si="31"/>
        <v>0</v>
      </c>
      <c r="T104" s="95">
        <f t="shared" si="31"/>
        <v>0</v>
      </c>
      <c r="U104" s="95">
        <f t="shared" si="31"/>
        <v>0</v>
      </c>
      <c r="V104" s="95">
        <f t="shared" si="31"/>
        <v>0</v>
      </c>
      <c r="W104" s="95">
        <f t="shared" si="31"/>
        <v>0</v>
      </c>
      <c r="X104" s="95">
        <f>SUM(X101:X103)</f>
        <v>0</v>
      </c>
      <c r="Y104" s="95">
        <f>SUM(C104:X104)</f>
        <v>0</v>
      </c>
    </row>
    <row r="105" spans="1:25" ht="21" customHeight="1">
      <c r="A105" s="428" t="s">
        <v>175</v>
      </c>
      <c r="B105" s="429"/>
      <c r="C105" s="99">
        <f>+C104</f>
        <v>0</v>
      </c>
      <c r="D105" s="99">
        <f t="shared" ref="D105:Y105" si="32">+D104</f>
        <v>0</v>
      </c>
      <c r="E105" s="99">
        <f t="shared" si="32"/>
        <v>0</v>
      </c>
      <c r="F105" s="99">
        <f t="shared" si="32"/>
        <v>0</v>
      </c>
      <c r="G105" s="99">
        <f t="shared" si="32"/>
        <v>0</v>
      </c>
      <c r="H105" s="99">
        <f t="shared" si="32"/>
        <v>0</v>
      </c>
      <c r="I105" s="99">
        <f t="shared" si="32"/>
        <v>0</v>
      </c>
      <c r="J105" s="99">
        <f t="shared" si="32"/>
        <v>0</v>
      </c>
      <c r="K105" s="99">
        <f t="shared" si="32"/>
        <v>0</v>
      </c>
      <c r="L105" s="99">
        <f t="shared" si="32"/>
        <v>0</v>
      </c>
      <c r="M105" s="99">
        <f t="shared" si="32"/>
        <v>0</v>
      </c>
      <c r="N105" s="99">
        <f t="shared" si="32"/>
        <v>0</v>
      </c>
      <c r="O105" s="99">
        <f t="shared" si="32"/>
        <v>0</v>
      </c>
      <c r="P105" s="99">
        <f t="shared" si="32"/>
        <v>0</v>
      </c>
      <c r="Q105" s="99">
        <f t="shared" si="32"/>
        <v>0</v>
      </c>
      <c r="R105" s="99">
        <f t="shared" si="32"/>
        <v>0</v>
      </c>
      <c r="S105" s="99">
        <f t="shared" si="32"/>
        <v>0</v>
      </c>
      <c r="T105" s="99">
        <f t="shared" si="32"/>
        <v>0</v>
      </c>
      <c r="U105" s="99">
        <f t="shared" si="32"/>
        <v>0</v>
      </c>
      <c r="V105" s="99">
        <f t="shared" si="32"/>
        <v>0</v>
      </c>
      <c r="W105" s="99">
        <f t="shared" si="32"/>
        <v>0</v>
      </c>
      <c r="X105" s="99">
        <f t="shared" si="32"/>
        <v>0</v>
      </c>
      <c r="Y105" s="99">
        <f t="shared" si="32"/>
        <v>0</v>
      </c>
    </row>
    <row r="106" spans="1:25" ht="21" customHeight="1">
      <c r="A106" s="432" t="s">
        <v>397</v>
      </c>
      <c r="B106" s="433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67"/>
      <c r="P106" s="167"/>
      <c r="Q106" s="167"/>
      <c r="R106" s="100"/>
      <c r="S106" s="100"/>
      <c r="T106" s="100"/>
      <c r="U106" s="100"/>
      <c r="V106" s="100"/>
      <c r="W106" s="100"/>
      <c r="X106" s="100"/>
      <c r="Y106" s="101">
        <f t="shared" ref="Y106:Y108" si="33">SUM(C106:X106)</f>
        <v>0</v>
      </c>
    </row>
    <row r="107" spans="1:25" ht="21" customHeight="1">
      <c r="A107" s="93">
        <v>510100</v>
      </c>
      <c r="B107" s="102" t="s">
        <v>12</v>
      </c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164"/>
      <c r="P107" s="164"/>
      <c r="Q107" s="164"/>
      <c r="R107" s="70"/>
      <c r="S107" s="70"/>
      <c r="T107" s="70"/>
      <c r="U107" s="70"/>
      <c r="V107" s="70"/>
      <c r="W107" s="70"/>
      <c r="X107" s="70"/>
      <c r="Y107" s="95">
        <f t="shared" si="33"/>
        <v>0</v>
      </c>
    </row>
    <row r="108" spans="1:25" ht="21" customHeight="1">
      <c r="A108" s="426" t="s">
        <v>174</v>
      </c>
      <c r="B108" s="427"/>
      <c r="C108" s="95">
        <f t="shared" ref="C108:X108" si="34">SUM(C107:C107)</f>
        <v>0</v>
      </c>
      <c r="D108" s="95">
        <f t="shared" si="34"/>
        <v>0</v>
      </c>
      <c r="E108" s="95">
        <f t="shared" si="34"/>
        <v>0</v>
      </c>
      <c r="F108" s="95">
        <f t="shared" si="34"/>
        <v>0</v>
      </c>
      <c r="G108" s="95">
        <f t="shared" si="34"/>
        <v>0</v>
      </c>
      <c r="H108" s="95">
        <f t="shared" si="34"/>
        <v>0</v>
      </c>
      <c r="I108" s="95">
        <f t="shared" si="34"/>
        <v>0</v>
      </c>
      <c r="J108" s="95">
        <f t="shared" si="34"/>
        <v>0</v>
      </c>
      <c r="K108" s="95">
        <f t="shared" si="34"/>
        <v>0</v>
      </c>
      <c r="L108" s="95">
        <f t="shared" si="34"/>
        <v>0</v>
      </c>
      <c r="M108" s="95">
        <f t="shared" si="34"/>
        <v>0</v>
      </c>
      <c r="N108" s="95">
        <f t="shared" si="34"/>
        <v>0</v>
      </c>
      <c r="O108" s="95">
        <f t="shared" si="34"/>
        <v>0</v>
      </c>
      <c r="P108" s="95">
        <f t="shared" si="34"/>
        <v>0</v>
      </c>
      <c r="Q108" s="95">
        <f t="shared" si="34"/>
        <v>0</v>
      </c>
      <c r="R108" s="95">
        <f t="shared" si="34"/>
        <v>0</v>
      </c>
      <c r="S108" s="95">
        <f t="shared" si="34"/>
        <v>0</v>
      </c>
      <c r="T108" s="95">
        <f t="shared" si="34"/>
        <v>0</v>
      </c>
      <c r="U108" s="95">
        <f t="shared" si="34"/>
        <v>0</v>
      </c>
      <c r="V108" s="95">
        <f t="shared" si="34"/>
        <v>0</v>
      </c>
      <c r="W108" s="95">
        <f t="shared" si="34"/>
        <v>0</v>
      </c>
      <c r="X108" s="95">
        <f t="shared" si="34"/>
        <v>0</v>
      </c>
      <c r="Y108" s="95">
        <f t="shared" si="33"/>
        <v>0</v>
      </c>
    </row>
    <row r="109" spans="1:25" ht="21" customHeight="1">
      <c r="A109" s="428" t="s">
        <v>175</v>
      </c>
      <c r="B109" s="429"/>
      <c r="C109" s="99">
        <f>+C108</f>
        <v>0</v>
      </c>
      <c r="D109" s="99">
        <f t="shared" ref="D109:Y109" si="35">+D108</f>
        <v>0</v>
      </c>
      <c r="E109" s="99">
        <f t="shared" si="35"/>
        <v>0</v>
      </c>
      <c r="F109" s="99">
        <f t="shared" si="35"/>
        <v>0</v>
      </c>
      <c r="G109" s="99">
        <f t="shared" si="35"/>
        <v>0</v>
      </c>
      <c r="H109" s="99">
        <f t="shared" si="35"/>
        <v>0</v>
      </c>
      <c r="I109" s="99">
        <f t="shared" si="35"/>
        <v>0</v>
      </c>
      <c r="J109" s="99">
        <f t="shared" si="35"/>
        <v>0</v>
      </c>
      <c r="K109" s="99">
        <f t="shared" si="35"/>
        <v>0</v>
      </c>
      <c r="L109" s="99">
        <f t="shared" si="35"/>
        <v>0</v>
      </c>
      <c r="M109" s="99">
        <f t="shared" si="35"/>
        <v>0</v>
      </c>
      <c r="N109" s="99">
        <f t="shared" si="35"/>
        <v>0</v>
      </c>
      <c r="O109" s="99">
        <f t="shared" si="35"/>
        <v>0</v>
      </c>
      <c r="P109" s="99">
        <f t="shared" si="35"/>
        <v>0</v>
      </c>
      <c r="Q109" s="99">
        <f t="shared" si="35"/>
        <v>0</v>
      </c>
      <c r="R109" s="99">
        <f t="shared" si="35"/>
        <v>0</v>
      </c>
      <c r="S109" s="99">
        <f t="shared" si="35"/>
        <v>0</v>
      </c>
      <c r="T109" s="99">
        <f t="shared" si="35"/>
        <v>0</v>
      </c>
      <c r="U109" s="99">
        <f t="shared" si="35"/>
        <v>0</v>
      </c>
      <c r="V109" s="99">
        <f t="shared" si="35"/>
        <v>0</v>
      </c>
      <c r="W109" s="99">
        <f t="shared" si="35"/>
        <v>0</v>
      </c>
      <c r="X109" s="99">
        <f t="shared" si="35"/>
        <v>0</v>
      </c>
      <c r="Y109" s="99">
        <f t="shared" si="35"/>
        <v>0</v>
      </c>
    </row>
    <row r="110" spans="1:25" ht="21" customHeight="1">
      <c r="A110" s="432" t="s">
        <v>396</v>
      </c>
      <c r="B110" s="433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67"/>
      <c r="P110" s="167"/>
      <c r="Q110" s="167"/>
      <c r="R110" s="100"/>
      <c r="S110" s="100"/>
      <c r="T110" s="100"/>
      <c r="U110" s="100"/>
      <c r="V110" s="100"/>
      <c r="W110" s="100"/>
      <c r="X110" s="100"/>
      <c r="Y110" s="101">
        <f>SUM(C110:X110)</f>
        <v>0</v>
      </c>
    </row>
    <row r="111" spans="1:25" ht="21" customHeight="1">
      <c r="A111" s="93">
        <v>610100</v>
      </c>
      <c r="B111" s="94" t="s">
        <v>398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164"/>
      <c r="P111" s="164"/>
      <c r="Q111" s="164"/>
      <c r="R111" s="70"/>
      <c r="S111" s="70"/>
      <c r="T111" s="70"/>
      <c r="U111" s="70"/>
      <c r="V111" s="70"/>
      <c r="W111" s="70"/>
      <c r="X111" s="70"/>
      <c r="Y111" s="95">
        <f>SUM(C111:X111)</f>
        <v>0</v>
      </c>
    </row>
    <row r="112" spans="1:25" ht="21" customHeight="1">
      <c r="A112" s="96">
        <v>610200</v>
      </c>
      <c r="B112" s="97" t="s">
        <v>399</v>
      </c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165"/>
      <c r="P112" s="165"/>
      <c r="Q112" s="165"/>
      <c r="R112" s="76"/>
      <c r="S112" s="76"/>
      <c r="T112" s="76"/>
      <c r="U112" s="76"/>
      <c r="V112" s="76"/>
      <c r="W112" s="76"/>
      <c r="X112" s="76"/>
      <c r="Y112" s="95">
        <f t="shared" ref="Y112:Y114" si="36">SUM(C112:X112)</f>
        <v>0</v>
      </c>
    </row>
    <row r="113" spans="1:26" ht="21" customHeight="1">
      <c r="A113" s="96">
        <v>610300</v>
      </c>
      <c r="B113" s="97" t="s">
        <v>400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165"/>
      <c r="P113" s="165"/>
      <c r="Q113" s="165"/>
      <c r="R113" s="76"/>
      <c r="S113" s="76">
        <v>7000</v>
      </c>
      <c r="T113" s="76"/>
      <c r="U113" s="76"/>
      <c r="V113" s="76"/>
      <c r="W113" s="76"/>
      <c r="X113" s="76"/>
      <c r="Y113" s="95">
        <f>SUM(C113:X113)</f>
        <v>7000</v>
      </c>
    </row>
    <row r="114" spans="1:26" ht="21" customHeight="1">
      <c r="A114" s="96">
        <v>610400</v>
      </c>
      <c r="B114" s="97" t="s">
        <v>401</v>
      </c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165"/>
      <c r="P114" s="165"/>
      <c r="Q114" s="165"/>
      <c r="R114" s="76"/>
      <c r="S114" s="76"/>
      <c r="T114" s="76"/>
      <c r="U114" s="76"/>
      <c r="V114" s="76"/>
      <c r="W114" s="76"/>
      <c r="X114" s="76"/>
      <c r="Y114" s="95">
        <f t="shared" si="36"/>
        <v>0</v>
      </c>
    </row>
    <row r="115" spans="1:26" ht="21" customHeight="1">
      <c r="A115" s="426" t="s">
        <v>174</v>
      </c>
      <c r="B115" s="427"/>
      <c r="C115" s="95">
        <f t="shared" ref="C115:Y115" si="37">SUM(C111:C114)</f>
        <v>0</v>
      </c>
      <c r="D115" s="95">
        <f t="shared" si="37"/>
        <v>0</v>
      </c>
      <c r="E115" s="95">
        <f t="shared" si="37"/>
        <v>0</v>
      </c>
      <c r="F115" s="95">
        <f t="shared" si="37"/>
        <v>0</v>
      </c>
      <c r="G115" s="95">
        <f t="shared" si="37"/>
        <v>0</v>
      </c>
      <c r="H115" s="95">
        <f t="shared" si="37"/>
        <v>0</v>
      </c>
      <c r="I115" s="95">
        <f t="shared" si="37"/>
        <v>0</v>
      </c>
      <c r="J115" s="95">
        <f t="shared" si="37"/>
        <v>0</v>
      </c>
      <c r="K115" s="95">
        <f t="shared" si="37"/>
        <v>0</v>
      </c>
      <c r="L115" s="95">
        <f>SUM(L111:L114)</f>
        <v>0</v>
      </c>
      <c r="M115" s="95">
        <f t="shared" si="37"/>
        <v>0</v>
      </c>
      <c r="N115" s="95">
        <f t="shared" si="37"/>
        <v>0</v>
      </c>
      <c r="O115" s="95">
        <f t="shared" si="37"/>
        <v>0</v>
      </c>
      <c r="P115" s="95">
        <f t="shared" si="37"/>
        <v>0</v>
      </c>
      <c r="Q115" s="95">
        <f t="shared" si="37"/>
        <v>0</v>
      </c>
      <c r="R115" s="95">
        <f t="shared" si="37"/>
        <v>0</v>
      </c>
      <c r="S115" s="95">
        <f t="shared" si="37"/>
        <v>7000</v>
      </c>
      <c r="T115" s="95">
        <f t="shared" si="37"/>
        <v>0</v>
      </c>
      <c r="U115" s="95">
        <f t="shared" si="37"/>
        <v>0</v>
      </c>
      <c r="V115" s="95">
        <f t="shared" si="37"/>
        <v>0</v>
      </c>
      <c r="W115" s="95">
        <f t="shared" si="37"/>
        <v>0</v>
      </c>
      <c r="X115" s="95">
        <f>SUM(X111:X114)</f>
        <v>0</v>
      </c>
      <c r="Y115" s="95">
        <f t="shared" si="37"/>
        <v>7000</v>
      </c>
    </row>
    <row r="116" spans="1:26" ht="21" customHeight="1">
      <c r="A116" s="428" t="s">
        <v>175</v>
      </c>
      <c r="B116" s="429"/>
      <c r="C116" s="99">
        <f>+C115</f>
        <v>0</v>
      </c>
      <c r="D116" s="99">
        <f t="shared" ref="D116:Y116" si="38">+D115</f>
        <v>0</v>
      </c>
      <c r="E116" s="99">
        <f t="shared" si="38"/>
        <v>0</v>
      </c>
      <c r="F116" s="99">
        <f t="shared" si="38"/>
        <v>0</v>
      </c>
      <c r="G116" s="99">
        <f t="shared" si="38"/>
        <v>0</v>
      </c>
      <c r="H116" s="99">
        <f t="shared" si="38"/>
        <v>0</v>
      </c>
      <c r="I116" s="99">
        <f t="shared" si="38"/>
        <v>0</v>
      </c>
      <c r="J116" s="99">
        <f t="shared" si="38"/>
        <v>0</v>
      </c>
      <c r="K116" s="99">
        <f t="shared" si="38"/>
        <v>0</v>
      </c>
      <c r="L116" s="99">
        <f t="shared" si="38"/>
        <v>0</v>
      </c>
      <c r="M116" s="99">
        <f t="shared" si="38"/>
        <v>0</v>
      </c>
      <c r="N116" s="99">
        <f t="shared" si="38"/>
        <v>0</v>
      </c>
      <c r="O116" s="99">
        <f t="shared" si="38"/>
        <v>0</v>
      </c>
      <c r="P116" s="99">
        <f t="shared" si="38"/>
        <v>0</v>
      </c>
      <c r="Q116" s="99">
        <f t="shared" si="38"/>
        <v>0</v>
      </c>
      <c r="R116" s="99">
        <f t="shared" si="38"/>
        <v>0</v>
      </c>
      <c r="S116" s="99">
        <f t="shared" si="38"/>
        <v>7000</v>
      </c>
      <c r="T116" s="99">
        <f t="shared" si="38"/>
        <v>0</v>
      </c>
      <c r="U116" s="99">
        <f t="shared" si="38"/>
        <v>0</v>
      </c>
      <c r="V116" s="99">
        <f t="shared" si="38"/>
        <v>0</v>
      </c>
      <c r="W116" s="99">
        <f t="shared" si="38"/>
        <v>0</v>
      </c>
      <c r="X116" s="99">
        <f t="shared" si="38"/>
        <v>0</v>
      </c>
      <c r="Y116" s="99">
        <f t="shared" si="38"/>
        <v>7000</v>
      </c>
    </row>
    <row r="117" spans="1:26" ht="21" customHeight="1">
      <c r="A117" s="430" t="s">
        <v>174</v>
      </c>
      <c r="B117" s="431"/>
      <c r="C117" s="44">
        <f t="shared" ref="C117:X118" si="39">SUM(C17,C25,C37,C46,C53,C72,C79,C96,C104,C108,C115)</f>
        <v>617877.72</v>
      </c>
      <c r="D117" s="44">
        <f t="shared" si="39"/>
        <v>142001.60999999999</v>
      </c>
      <c r="E117" s="44">
        <f t="shared" si="39"/>
        <v>33280</v>
      </c>
      <c r="F117" s="44">
        <f t="shared" si="39"/>
        <v>0</v>
      </c>
      <c r="G117" s="44">
        <f t="shared" si="39"/>
        <v>68470</v>
      </c>
      <c r="H117" s="44">
        <f t="shared" si="39"/>
        <v>0</v>
      </c>
      <c r="I117" s="44">
        <f t="shared" si="39"/>
        <v>39410</v>
      </c>
      <c r="J117" s="44">
        <f t="shared" si="39"/>
        <v>0</v>
      </c>
      <c r="K117" s="44">
        <f t="shared" si="39"/>
        <v>0</v>
      </c>
      <c r="L117" s="44">
        <f t="shared" si="39"/>
        <v>119899</v>
      </c>
      <c r="M117" s="44">
        <f t="shared" si="39"/>
        <v>0</v>
      </c>
      <c r="N117" s="44">
        <f t="shared" si="39"/>
        <v>20116.25</v>
      </c>
      <c r="O117" s="44">
        <f t="shared" si="39"/>
        <v>0</v>
      </c>
      <c r="P117" s="44">
        <f t="shared" si="39"/>
        <v>54971</v>
      </c>
      <c r="Q117" s="44">
        <f t="shared" si="39"/>
        <v>0</v>
      </c>
      <c r="R117" s="44">
        <f t="shared" si="39"/>
        <v>12200</v>
      </c>
      <c r="S117" s="44">
        <f t="shared" si="39"/>
        <v>7000</v>
      </c>
      <c r="T117" s="44">
        <f t="shared" si="39"/>
        <v>0</v>
      </c>
      <c r="U117" s="44">
        <f t="shared" si="39"/>
        <v>0</v>
      </c>
      <c r="V117" s="44">
        <f t="shared" si="39"/>
        <v>0</v>
      </c>
      <c r="W117" s="44">
        <f t="shared" si="39"/>
        <v>46895.35</v>
      </c>
      <c r="X117" s="44">
        <f t="shared" si="39"/>
        <v>21850</v>
      </c>
      <c r="Y117" s="44">
        <f>SUM(C117:X117)</f>
        <v>1183970.9300000002</v>
      </c>
      <c r="Z117" s="91">
        <f>+งบดุลบัญชี!K119</f>
        <v>1183970.93</v>
      </c>
    </row>
    <row r="118" spans="1:26" ht="21" customHeight="1">
      <c r="A118" s="430" t="s">
        <v>175</v>
      </c>
      <c r="B118" s="431"/>
      <c r="C118" s="44">
        <f t="shared" si="39"/>
        <v>617877.72</v>
      </c>
      <c r="D118" s="44">
        <f t="shared" si="39"/>
        <v>142001.60999999999</v>
      </c>
      <c r="E118" s="44">
        <f t="shared" si="39"/>
        <v>33280</v>
      </c>
      <c r="F118" s="44">
        <f t="shared" si="39"/>
        <v>0</v>
      </c>
      <c r="G118" s="44">
        <f t="shared" si="39"/>
        <v>68470</v>
      </c>
      <c r="H118" s="44">
        <f t="shared" si="39"/>
        <v>0</v>
      </c>
      <c r="I118" s="44">
        <f t="shared" si="39"/>
        <v>39410</v>
      </c>
      <c r="J118" s="44">
        <f t="shared" si="39"/>
        <v>0</v>
      </c>
      <c r="K118" s="44">
        <f t="shared" si="39"/>
        <v>0</v>
      </c>
      <c r="L118" s="44">
        <f t="shared" si="39"/>
        <v>119899</v>
      </c>
      <c r="M118" s="44">
        <f t="shared" si="39"/>
        <v>0</v>
      </c>
      <c r="N118" s="44">
        <f t="shared" si="39"/>
        <v>20116.25</v>
      </c>
      <c r="O118" s="44">
        <f t="shared" si="39"/>
        <v>0</v>
      </c>
      <c r="P118" s="44">
        <f t="shared" si="39"/>
        <v>54971</v>
      </c>
      <c r="Q118" s="44">
        <f t="shared" si="39"/>
        <v>0</v>
      </c>
      <c r="R118" s="44">
        <f t="shared" si="39"/>
        <v>12200</v>
      </c>
      <c r="S118" s="44">
        <f t="shared" si="39"/>
        <v>7000</v>
      </c>
      <c r="T118" s="44">
        <f t="shared" si="39"/>
        <v>0</v>
      </c>
      <c r="U118" s="44">
        <f t="shared" si="39"/>
        <v>0</v>
      </c>
      <c r="V118" s="44">
        <f t="shared" si="39"/>
        <v>0</v>
      </c>
      <c r="W118" s="44">
        <f t="shared" si="39"/>
        <v>46895.35</v>
      </c>
      <c r="X118" s="44">
        <f t="shared" si="39"/>
        <v>21850</v>
      </c>
      <c r="Y118" s="44">
        <f>SUM(C118:X118)</f>
        <v>1183970.9300000002</v>
      </c>
      <c r="Z118" s="91">
        <f>+Z117-Y117</f>
        <v>0</v>
      </c>
    </row>
    <row r="119" spans="1:26" ht="21" customHeight="1">
      <c r="Z119" s="91">
        <f>+Z118+Y117</f>
        <v>1183970.9300000002</v>
      </c>
    </row>
  </sheetData>
  <mergeCells count="85">
    <mergeCell ref="A118:B118"/>
    <mergeCell ref="A108:B108"/>
    <mergeCell ref="A109:B109"/>
    <mergeCell ref="A110:B110"/>
    <mergeCell ref="A115:B115"/>
    <mergeCell ref="A116:B116"/>
    <mergeCell ref="A117:B117"/>
    <mergeCell ref="Y98:Y99"/>
    <mergeCell ref="A99:B99"/>
    <mergeCell ref="A100:B100"/>
    <mergeCell ref="A104:B104"/>
    <mergeCell ref="A105:B105"/>
    <mergeCell ref="R98:T98"/>
    <mergeCell ref="U98:V98"/>
    <mergeCell ref="A106:B106"/>
    <mergeCell ref="G98:H98"/>
    <mergeCell ref="I98:J98"/>
    <mergeCell ref="L98:O98"/>
    <mergeCell ref="P98:Q98"/>
    <mergeCell ref="E98:F98"/>
    <mergeCell ref="A81:B81"/>
    <mergeCell ref="A96:B96"/>
    <mergeCell ref="A97:B97"/>
    <mergeCell ref="A98:B98"/>
    <mergeCell ref="C98:D98"/>
    <mergeCell ref="A80:B80"/>
    <mergeCell ref="I64:J64"/>
    <mergeCell ref="L64:O64"/>
    <mergeCell ref="P64:Q64"/>
    <mergeCell ref="R64:T64"/>
    <mergeCell ref="A65:B65"/>
    <mergeCell ref="A72:B72"/>
    <mergeCell ref="A73:B73"/>
    <mergeCell ref="A74:B74"/>
    <mergeCell ref="A79:B79"/>
    <mergeCell ref="U64:V64"/>
    <mergeCell ref="Y64:Y65"/>
    <mergeCell ref="A54:B54"/>
    <mergeCell ref="A55:B55"/>
    <mergeCell ref="A64:B64"/>
    <mergeCell ref="C64:D64"/>
    <mergeCell ref="E64:F64"/>
    <mergeCell ref="G64:H64"/>
    <mergeCell ref="U33:V33"/>
    <mergeCell ref="Y33:Y34"/>
    <mergeCell ref="A34:B34"/>
    <mergeCell ref="A37:B37"/>
    <mergeCell ref="A33:B33"/>
    <mergeCell ref="C33:D33"/>
    <mergeCell ref="E33:F33"/>
    <mergeCell ref="G33:H33"/>
    <mergeCell ref="I33:J33"/>
    <mergeCell ref="L33:O33"/>
    <mergeCell ref="A25:B25"/>
    <mergeCell ref="A26:B26"/>
    <mergeCell ref="A53:B53"/>
    <mergeCell ref="P33:Q33"/>
    <mergeCell ref="R33:T33"/>
    <mergeCell ref="A38:B38"/>
    <mergeCell ref="A39:B39"/>
    <mergeCell ref="A46:B46"/>
    <mergeCell ref="A47:B47"/>
    <mergeCell ref="A48:B48"/>
    <mergeCell ref="A27:B27"/>
    <mergeCell ref="U4:V4"/>
    <mergeCell ref="Y4:Y5"/>
    <mergeCell ref="A5:B5"/>
    <mergeCell ref="I4:J4"/>
    <mergeCell ref="L4:O4"/>
    <mergeCell ref="A17:B17"/>
    <mergeCell ref="A18:B18"/>
    <mergeCell ref="A19:B19"/>
    <mergeCell ref="A1:N1"/>
    <mergeCell ref="P1:Y1"/>
    <mergeCell ref="A2:N2"/>
    <mergeCell ref="P2:Y2"/>
    <mergeCell ref="A3:N3"/>
    <mergeCell ref="P3:Y3"/>
    <mergeCell ref="A6:B6"/>
    <mergeCell ref="A4:B4"/>
    <mergeCell ref="C4:D4"/>
    <mergeCell ref="E4:F4"/>
    <mergeCell ref="G4:H4"/>
    <mergeCell ref="P4:Q4"/>
    <mergeCell ref="R4:T4"/>
  </mergeCells>
  <pageMargins left="0.39370078740157483" right="0.39370078740157483" top="0.39370078740157483" bottom="0.39370078740157483" header="0.62992125984251968" footer="0.43307086614173229"/>
  <pageSetup paperSize="9" scale="75" pageOrder="overThenDown" orientation="landscape" r:id="rId1"/>
  <headerFooter alignWithMargins="0"/>
  <rowBreaks count="2" manualBreakCount="2">
    <brk id="32" max="24" man="1"/>
    <brk id="63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00000"/>
  </sheetPr>
  <dimension ref="A1:Z412"/>
  <sheetViews>
    <sheetView view="pageBreakPreview" topLeftCell="A316" zoomScale="90" zoomScaleNormal="110" zoomScaleSheetLayoutView="90" workbookViewId="0">
      <pane xSplit="2" ySplit="7" topLeftCell="C353" activePane="bottomRight" state="frozen"/>
      <selection activeCell="A316" sqref="A316"/>
      <selection pane="topRight" activeCell="C316" sqref="C316"/>
      <selection pane="bottomLeft" activeCell="A323" sqref="A323"/>
      <selection pane="bottomRight" activeCell="R362" sqref="R362"/>
    </sheetView>
  </sheetViews>
  <sheetFormatPr defaultRowHeight="21" customHeight="1"/>
  <cols>
    <col min="1" max="1" width="7" style="23" bestFit="1" customWidth="1"/>
    <col min="2" max="2" width="31.7109375" style="23" customWidth="1"/>
    <col min="3" max="3" width="13.85546875" style="23" customWidth="1"/>
    <col min="4" max="4" width="13.42578125" style="23" customWidth="1"/>
    <col min="5" max="6" width="13.28515625" style="23" customWidth="1"/>
    <col min="7" max="7" width="12.42578125" style="23" customWidth="1"/>
    <col min="8" max="8" width="12.5703125" style="23" customWidth="1"/>
    <col min="9" max="9" width="13" style="23" customWidth="1"/>
    <col min="10" max="10" width="12.7109375" style="23" customWidth="1"/>
    <col min="11" max="11" width="14.5703125" style="23" hidden="1" customWidth="1"/>
    <col min="12" max="12" width="11.42578125" style="23" customWidth="1"/>
    <col min="13" max="13" width="12.85546875" style="23" customWidth="1"/>
    <col min="14" max="15" width="12.28515625" style="23" customWidth="1"/>
    <col min="16" max="17" width="15.42578125" style="23" customWidth="1"/>
    <col min="18" max="18" width="15.7109375" style="23" customWidth="1"/>
    <col min="19" max="19" width="16" style="23" customWidth="1"/>
    <col min="20" max="20" width="13.140625" style="23" customWidth="1"/>
    <col min="21" max="21" width="15.28515625" style="23" customWidth="1"/>
    <col min="22" max="22" width="14.85546875" style="23" customWidth="1"/>
    <col min="23" max="23" width="14.28515625" style="23" customWidth="1"/>
    <col min="24" max="24" width="14.42578125" style="23" customWidth="1"/>
    <col min="25" max="25" width="14.28515625" style="23" customWidth="1"/>
    <col min="26" max="26" width="15.28515625" style="91" bestFit="1" customWidth="1"/>
    <col min="27" max="27" width="11.7109375" style="23" bestFit="1" customWidth="1"/>
    <col min="28" max="28" width="12.42578125" style="23" bestFit="1" customWidth="1"/>
    <col min="29" max="16384" width="9.140625" style="23"/>
  </cols>
  <sheetData>
    <row r="1" spans="1:25" ht="21" customHeight="1">
      <c r="A1" s="440" t="s">
        <v>253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292"/>
      <c r="P1" s="441" t="str">
        <f>+A1</f>
        <v>เทศบาลตำบลเขาพระ อำเภอพิปูน จังหวัดนครศรีธรรมราช</v>
      </c>
      <c r="Q1" s="441"/>
      <c r="R1" s="441"/>
      <c r="S1" s="441"/>
      <c r="T1" s="441"/>
      <c r="U1" s="441"/>
      <c r="V1" s="441"/>
      <c r="W1" s="441"/>
      <c r="X1" s="441"/>
      <c r="Y1" s="441"/>
    </row>
    <row r="2" spans="1:25" ht="21" customHeight="1">
      <c r="A2" s="440" t="s">
        <v>406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292"/>
      <c r="P2" s="442" t="s">
        <v>384</v>
      </c>
      <c r="Q2" s="442"/>
      <c r="R2" s="442"/>
      <c r="S2" s="442"/>
      <c r="T2" s="442"/>
      <c r="U2" s="442"/>
      <c r="V2" s="442"/>
      <c r="W2" s="442"/>
      <c r="X2" s="442"/>
      <c r="Y2" s="442"/>
    </row>
    <row r="3" spans="1:25" s="91" customFormat="1" ht="21" customHeight="1">
      <c r="A3" s="440" t="s">
        <v>324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292"/>
      <c r="P3" s="442" t="s">
        <v>324</v>
      </c>
      <c r="Q3" s="442"/>
      <c r="R3" s="442"/>
      <c r="S3" s="442"/>
      <c r="T3" s="442"/>
      <c r="U3" s="442"/>
      <c r="V3" s="442"/>
      <c r="W3" s="442"/>
      <c r="X3" s="442"/>
      <c r="Y3" s="442"/>
    </row>
    <row r="4" spans="1:25" s="315" customFormat="1" ht="21" customHeight="1">
      <c r="A4" s="440" t="s">
        <v>407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316"/>
      <c r="P4" s="442" t="s">
        <v>407</v>
      </c>
      <c r="Q4" s="442"/>
      <c r="R4" s="442"/>
      <c r="S4" s="442"/>
      <c r="T4" s="442"/>
      <c r="U4" s="442"/>
      <c r="V4" s="442"/>
      <c r="W4" s="442"/>
      <c r="X4" s="442"/>
      <c r="Y4" s="442"/>
    </row>
    <row r="5" spans="1:25" s="91" customFormat="1" ht="21" customHeight="1">
      <c r="A5" s="443" t="s">
        <v>408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317"/>
      <c r="P5" s="444" t="s">
        <v>408</v>
      </c>
      <c r="Q5" s="444"/>
      <c r="R5" s="444"/>
      <c r="S5" s="444"/>
      <c r="T5" s="444"/>
      <c r="U5" s="444"/>
      <c r="V5" s="444"/>
      <c r="W5" s="444"/>
      <c r="X5" s="444"/>
      <c r="Y5" s="444"/>
    </row>
    <row r="6" spans="1:25" s="91" customFormat="1" ht="21" customHeight="1">
      <c r="A6" s="435" t="s">
        <v>139</v>
      </c>
      <c r="B6" s="435"/>
      <c r="C6" s="434" t="s">
        <v>141</v>
      </c>
      <c r="D6" s="434"/>
      <c r="E6" s="437" t="s">
        <v>144</v>
      </c>
      <c r="F6" s="438"/>
      <c r="G6" s="434" t="s">
        <v>146</v>
      </c>
      <c r="H6" s="435"/>
      <c r="I6" s="437" t="s">
        <v>160</v>
      </c>
      <c r="J6" s="438"/>
      <c r="K6" s="290" t="s">
        <v>161</v>
      </c>
      <c r="L6" s="437" t="s">
        <v>162</v>
      </c>
      <c r="M6" s="439"/>
      <c r="N6" s="439"/>
      <c r="O6" s="438"/>
      <c r="P6" s="437" t="s">
        <v>163</v>
      </c>
      <c r="Q6" s="438"/>
      <c r="R6" s="437" t="s">
        <v>164</v>
      </c>
      <c r="S6" s="439"/>
      <c r="T6" s="438"/>
      <c r="U6" s="434" t="s">
        <v>165</v>
      </c>
      <c r="V6" s="435"/>
      <c r="W6" s="290" t="s">
        <v>212</v>
      </c>
      <c r="X6" s="290" t="s">
        <v>166</v>
      </c>
      <c r="Y6" s="436" t="s">
        <v>17</v>
      </c>
    </row>
    <row r="7" spans="1:25" s="91" customFormat="1" ht="21" customHeight="1">
      <c r="A7" s="435" t="s">
        <v>140</v>
      </c>
      <c r="B7" s="435"/>
      <c r="C7" s="290" t="s">
        <v>142</v>
      </c>
      <c r="D7" s="290" t="s">
        <v>143</v>
      </c>
      <c r="E7" s="290" t="s">
        <v>145</v>
      </c>
      <c r="F7" s="290" t="s">
        <v>214</v>
      </c>
      <c r="G7" s="290" t="s">
        <v>147</v>
      </c>
      <c r="H7" s="290" t="s">
        <v>148</v>
      </c>
      <c r="I7" s="290" t="s">
        <v>149</v>
      </c>
      <c r="J7" s="290" t="s">
        <v>150</v>
      </c>
      <c r="K7" s="290" t="s">
        <v>151</v>
      </c>
      <c r="L7" s="290" t="s">
        <v>152</v>
      </c>
      <c r="M7" s="290" t="s">
        <v>153</v>
      </c>
      <c r="N7" s="290" t="s">
        <v>238</v>
      </c>
      <c r="O7" s="290" t="s">
        <v>331</v>
      </c>
      <c r="P7" s="291" t="s">
        <v>303</v>
      </c>
      <c r="Q7" s="291" t="s">
        <v>154</v>
      </c>
      <c r="R7" s="290" t="s">
        <v>155</v>
      </c>
      <c r="S7" s="290" t="s">
        <v>156</v>
      </c>
      <c r="T7" s="290" t="s">
        <v>216</v>
      </c>
      <c r="U7" s="290" t="s">
        <v>157</v>
      </c>
      <c r="V7" s="290" t="s">
        <v>158</v>
      </c>
      <c r="W7" s="290" t="s">
        <v>213</v>
      </c>
      <c r="X7" s="290" t="s">
        <v>159</v>
      </c>
      <c r="Y7" s="436"/>
    </row>
    <row r="8" spans="1:25" s="91" customFormat="1" ht="21" customHeight="1">
      <c r="A8" s="432" t="s">
        <v>385</v>
      </c>
      <c r="B8" s="433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163"/>
      <c r="P8" s="163"/>
      <c r="Q8" s="163"/>
      <c r="R8" s="92"/>
      <c r="S8" s="92"/>
      <c r="T8" s="92"/>
      <c r="U8" s="92"/>
      <c r="V8" s="92"/>
      <c r="W8" s="92"/>
      <c r="X8" s="92"/>
      <c r="Y8" s="92"/>
    </row>
    <row r="9" spans="1:25" s="91" customFormat="1" ht="21" customHeight="1">
      <c r="A9" s="314">
        <v>110100</v>
      </c>
      <c r="B9" s="311" t="s">
        <v>342</v>
      </c>
      <c r="C9" s="312"/>
      <c r="D9" s="312"/>
      <c r="E9" s="312"/>
      <c r="F9" s="312"/>
      <c r="G9" s="312"/>
      <c r="H9" s="312"/>
      <c r="I9" s="312"/>
      <c r="J9" s="312"/>
      <c r="K9" s="312"/>
      <c r="L9" s="312"/>
      <c r="M9" s="312"/>
      <c r="N9" s="312"/>
      <c r="O9" s="313"/>
      <c r="P9" s="313"/>
      <c r="Q9" s="313"/>
      <c r="R9" s="312"/>
      <c r="S9" s="312"/>
      <c r="T9" s="312"/>
      <c r="U9" s="312"/>
      <c r="V9" s="312"/>
      <c r="W9" s="312"/>
      <c r="X9" s="312"/>
      <c r="Y9" s="95">
        <f>SUM(C9:X9)</f>
        <v>0</v>
      </c>
    </row>
    <row r="10" spans="1:25" s="91" customFormat="1" ht="21" customHeight="1">
      <c r="A10" s="314">
        <v>110200</v>
      </c>
      <c r="B10" s="311" t="s">
        <v>329</v>
      </c>
      <c r="C10" s="312"/>
      <c r="D10" s="312"/>
      <c r="E10" s="312"/>
      <c r="F10" s="312"/>
      <c r="G10" s="312"/>
      <c r="H10" s="312"/>
      <c r="I10" s="312"/>
      <c r="J10" s="312"/>
      <c r="K10" s="312"/>
      <c r="L10" s="312"/>
      <c r="M10" s="312"/>
      <c r="N10" s="312"/>
      <c r="O10" s="313"/>
      <c r="P10" s="313"/>
      <c r="Q10" s="313"/>
      <c r="R10" s="312"/>
      <c r="S10" s="312"/>
      <c r="T10" s="312"/>
      <c r="U10" s="312"/>
      <c r="V10" s="312"/>
      <c r="W10" s="312"/>
      <c r="X10" s="312"/>
      <c r="Y10" s="95">
        <f t="shared" ref="Y10" si="0">SUM(C10:X10)</f>
        <v>0</v>
      </c>
    </row>
    <row r="11" spans="1:25" s="91" customFormat="1" ht="21" customHeight="1">
      <c r="A11" s="93">
        <v>110300</v>
      </c>
      <c r="B11" s="94" t="s">
        <v>167</v>
      </c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164"/>
      <c r="P11" s="164"/>
      <c r="Q11" s="164"/>
      <c r="R11" s="70"/>
      <c r="S11" s="70"/>
      <c r="T11" s="70"/>
      <c r="U11" s="70"/>
      <c r="V11" s="70"/>
      <c r="W11" s="70"/>
      <c r="X11" s="70"/>
      <c r="Y11" s="95">
        <f>SUM(C11:X11)</f>
        <v>0</v>
      </c>
    </row>
    <row r="12" spans="1:25" s="91" customFormat="1" ht="21" customHeight="1">
      <c r="A12" s="93">
        <v>110700</v>
      </c>
      <c r="B12" s="94" t="s">
        <v>101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164"/>
      <c r="P12" s="164"/>
      <c r="Q12" s="164"/>
      <c r="R12" s="70"/>
      <c r="S12" s="70"/>
      <c r="T12" s="70"/>
      <c r="U12" s="70"/>
      <c r="V12" s="70"/>
      <c r="W12" s="70"/>
      <c r="X12" s="70"/>
      <c r="Y12" s="95">
        <f t="shared" ref="Y12:Y17" si="1">SUM(C12:X12)</f>
        <v>0</v>
      </c>
    </row>
    <row r="13" spans="1:25" s="91" customFormat="1" ht="21" customHeight="1">
      <c r="A13" s="93">
        <v>110800</v>
      </c>
      <c r="B13" s="94" t="s">
        <v>105</v>
      </c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164"/>
      <c r="P13" s="164"/>
      <c r="Q13" s="164"/>
      <c r="R13" s="70"/>
      <c r="S13" s="70"/>
      <c r="T13" s="70"/>
      <c r="U13" s="70"/>
      <c r="V13" s="70"/>
      <c r="W13" s="70"/>
      <c r="X13" s="70"/>
      <c r="Y13" s="95">
        <f t="shared" si="1"/>
        <v>0</v>
      </c>
    </row>
    <row r="14" spans="1:25" s="91" customFormat="1" ht="21" customHeight="1">
      <c r="A14" s="93">
        <v>110900</v>
      </c>
      <c r="B14" s="94" t="s">
        <v>106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164"/>
      <c r="P14" s="164"/>
      <c r="Q14" s="164"/>
      <c r="R14" s="70"/>
      <c r="S14" s="70"/>
      <c r="T14" s="70"/>
      <c r="U14" s="70"/>
      <c r="V14" s="70"/>
      <c r="W14" s="70"/>
      <c r="X14" s="70"/>
      <c r="Y14" s="95">
        <f t="shared" si="1"/>
        <v>0</v>
      </c>
    </row>
    <row r="15" spans="1:25" s="91" customFormat="1" ht="21" customHeight="1">
      <c r="A15" s="93">
        <v>111000</v>
      </c>
      <c r="B15" s="94" t="s">
        <v>107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164"/>
      <c r="P15" s="164"/>
      <c r="Q15" s="164"/>
      <c r="R15" s="70"/>
      <c r="S15" s="70"/>
      <c r="T15" s="70"/>
      <c r="U15" s="70"/>
      <c r="V15" s="70"/>
      <c r="W15" s="70"/>
      <c r="X15" s="70"/>
      <c r="Y15" s="95">
        <f t="shared" si="1"/>
        <v>0</v>
      </c>
    </row>
    <row r="16" spans="1:25" s="91" customFormat="1" ht="21" customHeight="1">
      <c r="A16" s="93">
        <v>111100</v>
      </c>
      <c r="B16" s="94" t="s">
        <v>330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164"/>
      <c r="P16" s="164"/>
      <c r="Q16" s="164"/>
      <c r="R16" s="70"/>
      <c r="S16" s="70"/>
      <c r="T16" s="70"/>
      <c r="U16" s="70"/>
      <c r="V16" s="70"/>
      <c r="W16" s="70"/>
      <c r="X16" s="70"/>
      <c r="Y16" s="95">
        <f t="shared" si="1"/>
        <v>0</v>
      </c>
    </row>
    <row r="17" spans="1:25" s="91" customFormat="1" ht="21" customHeight="1">
      <c r="A17" s="93">
        <v>111100</v>
      </c>
      <c r="B17" s="94" t="s">
        <v>297</v>
      </c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164"/>
      <c r="P17" s="164"/>
      <c r="Q17" s="164"/>
      <c r="R17" s="70"/>
      <c r="S17" s="70"/>
      <c r="T17" s="70"/>
      <c r="U17" s="70"/>
      <c r="V17" s="70"/>
      <c r="W17" s="70"/>
      <c r="X17" s="70"/>
      <c r="Y17" s="95">
        <f t="shared" si="1"/>
        <v>0</v>
      </c>
    </row>
    <row r="18" spans="1:25" s="91" customFormat="1" ht="21" customHeight="1">
      <c r="A18" s="96">
        <v>120100</v>
      </c>
      <c r="B18" s="97" t="s">
        <v>168</v>
      </c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165"/>
      <c r="P18" s="165"/>
      <c r="Q18" s="165"/>
      <c r="R18" s="76"/>
      <c r="S18" s="76"/>
      <c r="T18" s="76"/>
      <c r="U18" s="76"/>
      <c r="V18" s="76"/>
      <c r="W18" s="76"/>
      <c r="X18" s="76"/>
      <c r="Y18" s="98">
        <f>SUM(C18:X18)</f>
        <v>0</v>
      </c>
    </row>
    <row r="19" spans="1:25" s="91" customFormat="1" ht="21" customHeight="1">
      <c r="A19" s="426" t="s">
        <v>174</v>
      </c>
      <c r="B19" s="427"/>
      <c r="C19" s="95">
        <f>SUM(C9:C18)</f>
        <v>0</v>
      </c>
      <c r="D19" s="95">
        <f>SUM(D9:D18)</f>
        <v>0</v>
      </c>
      <c r="E19" s="95">
        <f>SUM(E9:E18)</f>
        <v>0</v>
      </c>
      <c r="F19" s="95">
        <f>SUM(F9:F18)</f>
        <v>0</v>
      </c>
      <c r="G19" s="95">
        <f t="shared" ref="G19:W19" si="2">SUM(G9:G18)</f>
        <v>0</v>
      </c>
      <c r="H19" s="95">
        <f t="shared" si="2"/>
        <v>0</v>
      </c>
      <c r="I19" s="95">
        <f t="shared" si="2"/>
        <v>0</v>
      </c>
      <c r="J19" s="95">
        <f t="shared" si="2"/>
        <v>0</v>
      </c>
      <c r="K19" s="95">
        <f t="shared" si="2"/>
        <v>0</v>
      </c>
      <c r="L19" s="95">
        <f t="shared" si="2"/>
        <v>0</v>
      </c>
      <c r="M19" s="95">
        <f t="shared" si="2"/>
        <v>0</v>
      </c>
      <c r="N19" s="95">
        <f t="shared" si="2"/>
        <v>0</v>
      </c>
      <c r="O19" s="95">
        <f t="shared" si="2"/>
        <v>0</v>
      </c>
      <c r="P19" s="95">
        <f t="shared" si="2"/>
        <v>0</v>
      </c>
      <c r="Q19" s="95">
        <f t="shared" si="2"/>
        <v>0</v>
      </c>
      <c r="R19" s="95">
        <f t="shared" si="2"/>
        <v>0</v>
      </c>
      <c r="S19" s="95">
        <f t="shared" si="2"/>
        <v>0</v>
      </c>
      <c r="T19" s="95">
        <f t="shared" si="2"/>
        <v>0</v>
      </c>
      <c r="U19" s="95">
        <f t="shared" si="2"/>
        <v>0</v>
      </c>
      <c r="V19" s="95">
        <f t="shared" si="2"/>
        <v>0</v>
      </c>
      <c r="W19" s="95">
        <f t="shared" si="2"/>
        <v>0</v>
      </c>
      <c r="X19" s="95">
        <f>SUM(X9:X18)</f>
        <v>0</v>
      </c>
      <c r="Y19" s="95">
        <f>SUM(C19:X19)</f>
        <v>0</v>
      </c>
    </row>
    <row r="20" spans="1:25" s="91" customFormat="1" ht="21" customHeight="1">
      <c r="A20" s="428" t="s">
        <v>175</v>
      </c>
      <c r="B20" s="429"/>
      <c r="C20" s="99">
        <f>+C19</f>
        <v>0</v>
      </c>
      <c r="D20" s="99">
        <f t="shared" ref="D20:X20" si="3">+D19</f>
        <v>0</v>
      </c>
      <c r="E20" s="99">
        <f t="shared" si="3"/>
        <v>0</v>
      </c>
      <c r="F20" s="99">
        <f t="shared" si="3"/>
        <v>0</v>
      </c>
      <c r="G20" s="99">
        <f t="shared" si="3"/>
        <v>0</v>
      </c>
      <c r="H20" s="99">
        <f t="shared" si="3"/>
        <v>0</v>
      </c>
      <c r="I20" s="99">
        <f t="shared" si="3"/>
        <v>0</v>
      </c>
      <c r="J20" s="99">
        <f t="shared" si="3"/>
        <v>0</v>
      </c>
      <c r="K20" s="99">
        <f t="shared" si="3"/>
        <v>0</v>
      </c>
      <c r="L20" s="99">
        <f t="shared" si="3"/>
        <v>0</v>
      </c>
      <c r="M20" s="99">
        <f t="shared" si="3"/>
        <v>0</v>
      </c>
      <c r="N20" s="99">
        <f t="shared" si="3"/>
        <v>0</v>
      </c>
      <c r="O20" s="99">
        <f t="shared" si="3"/>
        <v>0</v>
      </c>
      <c r="P20" s="99">
        <f t="shared" si="3"/>
        <v>0</v>
      </c>
      <c r="Q20" s="99">
        <f t="shared" si="3"/>
        <v>0</v>
      </c>
      <c r="R20" s="99">
        <f t="shared" si="3"/>
        <v>0</v>
      </c>
      <c r="S20" s="99">
        <f t="shared" si="3"/>
        <v>0</v>
      </c>
      <c r="T20" s="99">
        <f t="shared" si="3"/>
        <v>0</v>
      </c>
      <c r="U20" s="99">
        <f t="shared" si="3"/>
        <v>0</v>
      </c>
      <c r="V20" s="99">
        <f t="shared" si="3"/>
        <v>0</v>
      </c>
      <c r="W20" s="99">
        <f t="shared" si="3"/>
        <v>0</v>
      </c>
      <c r="X20" s="99">
        <f t="shared" si="3"/>
        <v>0</v>
      </c>
      <c r="Y20" s="99">
        <f>+Y19</f>
        <v>0</v>
      </c>
    </row>
    <row r="21" spans="1:25" s="91" customFormat="1" ht="21" customHeight="1">
      <c r="A21" s="432" t="s">
        <v>386</v>
      </c>
      <c r="B21" s="433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67"/>
      <c r="P21" s="167"/>
      <c r="Q21" s="167"/>
      <c r="R21" s="100"/>
      <c r="S21" s="100"/>
      <c r="T21" s="100"/>
      <c r="U21" s="100"/>
      <c r="V21" s="100"/>
      <c r="W21" s="100"/>
      <c r="X21" s="100"/>
      <c r="Y21" s="101">
        <f t="shared" ref="Y21:Y26" si="4">SUM(C21:X21)</f>
        <v>0</v>
      </c>
    </row>
    <row r="22" spans="1:25" s="91" customFormat="1" ht="21" customHeight="1">
      <c r="A22" s="93">
        <v>210100</v>
      </c>
      <c r="B22" s="68" t="s">
        <v>169</v>
      </c>
      <c r="C22" s="70"/>
      <c r="D22" s="70">
        <v>0</v>
      </c>
      <c r="E22" s="70"/>
      <c r="F22" s="70"/>
      <c r="G22" s="70"/>
      <c r="H22" s="70"/>
      <c r="I22" s="70"/>
      <c r="J22" s="70"/>
      <c r="K22" s="70"/>
      <c r="L22" s="70">
        <v>0</v>
      </c>
      <c r="M22" s="70"/>
      <c r="N22" s="70"/>
      <c r="O22" s="164"/>
      <c r="P22" s="164"/>
      <c r="Q22" s="164"/>
      <c r="R22" s="70"/>
      <c r="S22" s="70"/>
      <c r="T22" s="70"/>
      <c r="U22" s="70"/>
      <c r="V22" s="70"/>
      <c r="W22" s="70"/>
      <c r="X22" s="70"/>
      <c r="Y22" s="95">
        <f t="shared" si="4"/>
        <v>0</v>
      </c>
    </row>
    <row r="23" spans="1:25" s="91" customFormat="1" ht="21" customHeight="1">
      <c r="A23" s="93">
        <v>210200</v>
      </c>
      <c r="B23" s="68" t="s">
        <v>173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164"/>
      <c r="P23" s="164"/>
      <c r="Q23" s="164"/>
      <c r="R23" s="70"/>
      <c r="S23" s="70"/>
      <c r="T23" s="70"/>
      <c r="U23" s="70"/>
      <c r="V23" s="70"/>
      <c r="W23" s="70"/>
      <c r="X23" s="70"/>
      <c r="Y23" s="95">
        <f t="shared" si="4"/>
        <v>0</v>
      </c>
    </row>
    <row r="24" spans="1:25" s="91" customFormat="1" ht="21" customHeight="1">
      <c r="A24" s="93">
        <v>210300</v>
      </c>
      <c r="B24" s="68" t="s">
        <v>170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164"/>
      <c r="P24" s="164"/>
      <c r="Q24" s="164"/>
      <c r="R24" s="70"/>
      <c r="S24" s="70"/>
      <c r="T24" s="70"/>
      <c r="U24" s="70"/>
      <c r="V24" s="70"/>
      <c r="W24" s="70"/>
      <c r="X24" s="70"/>
      <c r="Y24" s="95">
        <f t="shared" si="4"/>
        <v>0</v>
      </c>
    </row>
    <row r="25" spans="1:25" s="91" customFormat="1" ht="21" customHeight="1">
      <c r="A25" s="93">
        <v>210400</v>
      </c>
      <c r="B25" s="68" t="s">
        <v>171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164"/>
      <c r="P25" s="164"/>
      <c r="Q25" s="164"/>
      <c r="R25" s="70"/>
      <c r="S25" s="70"/>
      <c r="T25" s="70"/>
      <c r="U25" s="70"/>
      <c r="V25" s="70"/>
      <c r="W25" s="70"/>
      <c r="X25" s="70"/>
      <c r="Y25" s="95">
        <f t="shared" si="4"/>
        <v>0</v>
      </c>
    </row>
    <row r="26" spans="1:25" s="91" customFormat="1" ht="21" customHeight="1">
      <c r="A26" s="96">
        <v>210600</v>
      </c>
      <c r="B26" s="69" t="s">
        <v>172</v>
      </c>
      <c r="C26" s="70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165"/>
      <c r="P26" s="165"/>
      <c r="Q26" s="165"/>
      <c r="R26" s="76"/>
      <c r="S26" s="76"/>
      <c r="T26" s="76"/>
      <c r="U26" s="76"/>
      <c r="V26" s="76"/>
      <c r="W26" s="76"/>
      <c r="X26" s="76"/>
      <c r="Y26" s="98">
        <f t="shared" si="4"/>
        <v>0</v>
      </c>
    </row>
    <row r="27" spans="1:25" s="91" customFormat="1" ht="21" customHeight="1">
      <c r="A27" s="426" t="s">
        <v>174</v>
      </c>
      <c r="B27" s="427"/>
      <c r="C27" s="95">
        <f>SUM(C22:C26)</f>
        <v>0</v>
      </c>
      <c r="D27" s="95">
        <f>SUM(D21:D26)</f>
        <v>0</v>
      </c>
      <c r="E27" s="95">
        <f>SUM(E21:E26)</f>
        <v>0</v>
      </c>
      <c r="F27" s="95">
        <f t="shared" ref="F27:L27" si="5">SUM(F21:F26)</f>
        <v>0</v>
      </c>
      <c r="G27" s="95">
        <f t="shared" si="5"/>
        <v>0</v>
      </c>
      <c r="H27" s="95">
        <f t="shared" si="5"/>
        <v>0</v>
      </c>
      <c r="I27" s="95">
        <f t="shared" si="5"/>
        <v>0</v>
      </c>
      <c r="J27" s="95">
        <f t="shared" si="5"/>
        <v>0</v>
      </c>
      <c r="K27" s="95">
        <f t="shared" si="5"/>
        <v>0</v>
      </c>
      <c r="L27" s="95">
        <f t="shared" si="5"/>
        <v>0</v>
      </c>
      <c r="M27" s="95">
        <f>SUM(M21:M26)</f>
        <v>0</v>
      </c>
      <c r="N27" s="95">
        <f>SUM(N21:N26)</f>
        <v>0</v>
      </c>
      <c r="O27" s="95">
        <f>SUM(O21:O26)</f>
        <v>0</v>
      </c>
      <c r="P27" s="95">
        <f t="shared" ref="P27:Q27" si="6">SUM(P21:P26)</f>
        <v>0</v>
      </c>
      <c r="Q27" s="95">
        <f t="shared" si="6"/>
        <v>0</v>
      </c>
      <c r="R27" s="95">
        <f>SUM(R21:R26)</f>
        <v>0</v>
      </c>
      <c r="S27" s="95">
        <f>SUM(S21:S26)</f>
        <v>0</v>
      </c>
      <c r="T27" s="95"/>
      <c r="U27" s="95">
        <f>SUM(U21:U26)</f>
        <v>0</v>
      </c>
      <c r="V27" s="95">
        <f>SUM(V21:V26)</f>
        <v>0</v>
      </c>
      <c r="W27" s="95">
        <f>SUM(W21:W26)</f>
        <v>0</v>
      </c>
      <c r="X27" s="95">
        <f>SUM(X21:X26)</f>
        <v>0</v>
      </c>
      <c r="Y27" s="95">
        <f>SUM(C27:X27)</f>
        <v>0</v>
      </c>
    </row>
    <row r="28" spans="1:25" s="91" customFormat="1" ht="21" customHeight="1">
      <c r="A28" s="428" t="s">
        <v>175</v>
      </c>
      <c r="B28" s="429"/>
      <c r="C28" s="95">
        <f>+C27</f>
        <v>0</v>
      </c>
      <c r="D28" s="95">
        <f t="shared" ref="D28:X28" si="7">+D27</f>
        <v>0</v>
      </c>
      <c r="E28" s="95">
        <f t="shared" si="7"/>
        <v>0</v>
      </c>
      <c r="F28" s="95">
        <f t="shared" si="7"/>
        <v>0</v>
      </c>
      <c r="G28" s="95">
        <f t="shared" si="7"/>
        <v>0</v>
      </c>
      <c r="H28" s="95">
        <f t="shared" si="7"/>
        <v>0</v>
      </c>
      <c r="I28" s="95">
        <f t="shared" si="7"/>
        <v>0</v>
      </c>
      <c r="J28" s="95">
        <f t="shared" si="7"/>
        <v>0</v>
      </c>
      <c r="K28" s="95">
        <f t="shared" si="7"/>
        <v>0</v>
      </c>
      <c r="L28" s="95">
        <f t="shared" si="7"/>
        <v>0</v>
      </c>
      <c r="M28" s="95">
        <f t="shared" si="7"/>
        <v>0</v>
      </c>
      <c r="N28" s="95">
        <f t="shared" si="7"/>
        <v>0</v>
      </c>
      <c r="O28" s="95">
        <f t="shared" si="7"/>
        <v>0</v>
      </c>
      <c r="P28" s="95">
        <f t="shared" si="7"/>
        <v>0</v>
      </c>
      <c r="Q28" s="95">
        <f t="shared" si="7"/>
        <v>0</v>
      </c>
      <c r="R28" s="95">
        <f t="shared" si="7"/>
        <v>0</v>
      </c>
      <c r="S28" s="95">
        <f t="shared" si="7"/>
        <v>0</v>
      </c>
      <c r="T28" s="95">
        <f t="shared" si="7"/>
        <v>0</v>
      </c>
      <c r="U28" s="95">
        <f t="shared" si="7"/>
        <v>0</v>
      </c>
      <c r="V28" s="95">
        <f t="shared" si="7"/>
        <v>0</v>
      </c>
      <c r="W28" s="95">
        <f t="shared" si="7"/>
        <v>0</v>
      </c>
      <c r="X28" s="95">
        <f t="shared" si="7"/>
        <v>0</v>
      </c>
      <c r="Y28" s="95">
        <f>+Y27</f>
        <v>0</v>
      </c>
    </row>
    <row r="29" spans="1:25" s="91" customFormat="1" ht="21" customHeight="1">
      <c r="A29" s="432" t="s">
        <v>387</v>
      </c>
      <c r="B29" s="433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67"/>
      <c r="P29" s="167"/>
      <c r="Q29" s="167"/>
      <c r="R29" s="100"/>
      <c r="S29" s="100"/>
      <c r="T29" s="100"/>
      <c r="U29" s="100"/>
      <c r="V29" s="100"/>
      <c r="W29" s="100"/>
      <c r="X29" s="100"/>
      <c r="Y29" s="101">
        <f t="shared" ref="Y29" si="8">SUM(C29:X29)</f>
        <v>0</v>
      </c>
    </row>
    <row r="30" spans="1:25" s="91" customFormat="1" ht="21" customHeight="1">
      <c r="A30" s="93">
        <v>220100</v>
      </c>
      <c r="B30" s="68" t="s">
        <v>176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237"/>
      <c r="O30" s="268"/>
      <c r="P30" s="164"/>
      <c r="Q30" s="164"/>
      <c r="R30" s="70"/>
      <c r="S30" s="70"/>
      <c r="T30" s="70"/>
      <c r="U30" s="70"/>
      <c r="V30" s="70"/>
      <c r="W30" s="70"/>
      <c r="X30" s="70"/>
      <c r="Y30" s="95">
        <f>SUM(C30:X30)</f>
        <v>0</v>
      </c>
    </row>
    <row r="31" spans="1:25" s="91" customFormat="1" ht="21" customHeight="1">
      <c r="A31" s="93">
        <v>220200</v>
      </c>
      <c r="B31" s="68" t="s">
        <v>177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238"/>
      <c r="O31" s="94"/>
      <c r="P31" s="164"/>
      <c r="Q31" s="164"/>
      <c r="R31" s="70"/>
      <c r="S31" s="70"/>
      <c r="T31" s="70"/>
      <c r="U31" s="70"/>
      <c r="V31" s="70"/>
      <c r="W31" s="70"/>
      <c r="X31" s="70"/>
      <c r="Y31" s="95">
        <f t="shared" ref="Y31:Y34" si="9">SUM(C31:X31)</f>
        <v>0</v>
      </c>
    </row>
    <row r="32" spans="1:25" s="91" customFormat="1" ht="21" customHeight="1">
      <c r="A32" s="93">
        <v>220300</v>
      </c>
      <c r="B32" s="68" t="s">
        <v>178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238"/>
      <c r="O32" s="94"/>
      <c r="P32" s="164"/>
      <c r="Q32" s="164"/>
      <c r="R32" s="70"/>
      <c r="S32" s="70"/>
      <c r="T32" s="70"/>
      <c r="U32" s="70"/>
      <c r="V32" s="70"/>
      <c r="W32" s="70"/>
      <c r="X32" s="70"/>
      <c r="Y32" s="95">
        <f t="shared" si="9"/>
        <v>0</v>
      </c>
    </row>
    <row r="33" spans="1:25" s="91" customFormat="1" ht="21" customHeight="1">
      <c r="A33" s="93">
        <v>220500</v>
      </c>
      <c r="B33" s="68" t="s">
        <v>3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238"/>
      <c r="O33" s="94"/>
      <c r="P33" s="164"/>
      <c r="Q33" s="164"/>
      <c r="R33" s="70"/>
      <c r="S33" s="70"/>
      <c r="T33" s="70"/>
      <c r="U33" s="70"/>
      <c r="V33" s="70"/>
      <c r="W33" s="70"/>
      <c r="X33" s="70"/>
      <c r="Y33" s="95">
        <f t="shared" si="9"/>
        <v>0</v>
      </c>
    </row>
    <row r="34" spans="1:25" s="91" customFormat="1" ht="21" customHeight="1">
      <c r="A34" s="93">
        <v>220600</v>
      </c>
      <c r="B34" s="68" t="s">
        <v>179</v>
      </c>
      <c r="C34" s="70">
        <v>0</v>
      </c>
      <c r="D34" s="70">
        <v>0</v>
      </c>
      <c r="E34" s="70"/>
      <c r="F34" s="70"/>
      <c r="G34" s="70"/>
      <c r="H34" s="70"/>
      <c r="I34" s="70"/>
      <c r="J34" s="70"/>
      <c r="K34" s="70"/>
      <c r="L34" s="70">
        <v>0</v>
      </c>
      <c r="M34" s="70"/>
      <c r="N34" s="239"/>
      <c r="O34" s="165"/>
      <c r="P34" s="164"/>
      <c r="Q34" s="164"/>
      <c r="R34" s="70"/>
      <c r="S34" s="70"/>
      <c r="T34" s="70"/>
      <c r="U34" s="70"/>
      <c r="V34" s="70"/>
      <c r="W34" s="70"/>
      <c r="X34" s="70"/>
      <c r="Y34" s="95">
        <f t="shared" si="9"/>
        <v>0</v>
      </c>
    </row>
    <row r="35" spans="1:25" s="91" customFormat="1" ht="21" customHeight="1">
      <c r="A35" s="435" t="s">
        <v>139</v>
      </c>
      <c r="B35" s="435"/>
      <c r="C35" s="434" t="s">
        <v>141</v>
      </c>
      <c r="D35" s="434"/>
      <c r="E35" s="437" t="s">
        <v>144</v>
      </c>
      <c r="F35" s="438"/>
      <c r="G35" s="434" t="s">
        <v>146</v>
      </c>
      <c r="H35" s="435"/>
      <c r="I35" s="437" t="s">
        <v>160</v>
      </c>
      <c r="J35" s="438"/>
      <c r="K35" s="290" t="s">
        <v>161</v>
      </c>
      <c r="L35" s="437" t="s">
        <v>162</v>
      </c>
      <c r="M35" s="439"/>
      <c r="N35" s="439"/>
      <c r="O35" s="438"/>
      <c r="P35" s="437" t="s">
        <v>163</v>
      </c>
      <c r="Q35" s="438"/>
      <c r="R35" s="437" t="s">
        <v>164</v>
      </c>
      <c r="S35" s="439"/>
      <c r="T35" s="438"/>
      <c r="U35" s="434" t="s">
        <v>165</v>
      </c>
      <c r="V35" s="435"/>
      <c r="W35" s="290" t="s">
        <v>212</v>
      </c>
      <c r="X35" s="290" t="s">
        <v>166</v>
      </c>
      <c r="Y35" s="436" t="s">
        <v>17</v>
      </c>
    </row>
    <row r="36" spans="1:25" s="91" customFormat="1" ht="21" customHeight="1">
      <c r="A36" s="435" t="s">
        <v>140</v>
      </c>
      <c r="B36" s="435"/>
      <c r="C36" s="290" t="s">
        <v>142</v>
      </c>
      <c r="D36" s="290" t="s">
        <v>143</v>
      </c>
      <c r="E36" s="290" t="s">
        <v>145</v>
      </c>
      <c r="F36" s="290" t="s">
        <v>214</v>
      </c>
      <c r="G36" s="290" t="s">
        <v>147</v>
      </c>
      <c r="H36" s="290" t="s">
        <v>148</v>
      </c>
      <c r="I36" s="290" t="s">
        <v>149</v>
      </c>
      <c r="J36" s="290" t="s">
        <v>150</v>
      </c>
      <c r="K36" s="290" t="s">
        <v>151</v>
      </c>
      <c r="L36" s="290" t="s">
        <v>152</v>
      </c>
      <c r="M36" s="290" t="s">
        <v>153</v>
      </c>
      <c r="N36" s="290" t="s">
        <v>238</v>
      </c>
      <c r="O36" s="290" t="s">
        <v>331</v>
      </c>
      <c r="P36" s="291" t="s">
        <v>303</v>
      </c>
      <c r="Q36" s="291" t="s">
        <v>154</v>
      </c>
      <c r="R36" s="290" t="s">
        <v>155</v>
      </c>
      <c r="S36" s="290" t="s">
        <v>156</v>
      </c>
      <c r="T36" s="290" t="s">
        <v>216</v>
      </c>
      <c r="U36" s="290" t="s">
        <v>157</v>
      </c>
      <c r="V36" s="290" t="s">
        <v>158</v>
      </c>
      <c r="W36" s="290" t="s">
        <v>213</v>
      </c>
      <c r="X36" s="290" t="s">
        <v>159</v>
      </c>
      <c r="Y36" s="436"/>
    </row>
    <row r="37" spans="1:25" s="91" customFormat="1" ht="21" customHeight="1">
      <c r="A37" s="93">
        <v>220700</v>
      </c>
      <c r="B37" s="68" t="s">
        <v>180</v>
      </c>
      <c r="C37" s="70"/>
      <c r="D37" s="70"/>
      <c r="E37" s="70"/>
      <c r="F37" s="70"/>
      <c r="G37" s="70"/>
      <c r="H37" s="74"/>
      <c r="I37" s="70"/>
      <c r="J37" s="70"/>
      <c r="K37" s="70"/>
      <c r="L37" s="70"/>
      <c r="M37" s="70"/>
      <c r="N37" s="70"/>
      <c r="O37" s="164"/>
      <c r="P37" s="164"/>
      <c r="Q37" s="164"/>
      <c r="R37" s="70"/>
      <c r="S37" s="70"/>
      <c r="T37" s="70"/>
      <c r="U37" s="70"/>
      <c r="V37" s="70"/>
      <c r="W37" s="70"/>
      <c r="X37" s="70"/>
      <c r="Y37" s="95">
        <f>SUM(C37:X37)</f>
        <v>0</v>
      </c>
    </row>
    <row r="38" spans="1:25" s="91" customFormat="1" ht="21" customHeight="1">
      <c r="A38" s="96">
        <v>220800</v>
      </c>
      <c r="B38" s="69" t="s">
        <v>181</v>
      </c>
      <c r="C38" s="70"/>
      <c r="D38" s="76"/>
      <c r="E38" s="76"/>
      <c r="F38" s="76"/>
      <c r="G38" s="76"/>
      <c r="H38" s="123"/>
      <c r="I38" s="76"/>
      <c r="J38" s="76"/>
      <c r="K38" s="76"/>
      <c r="L38" s="70"/>
      <c r="M38" s="76"/>
      <c r="N38" s="76"/>
      <c r="O38" s="165"/>
      <c r="P38" s="165"/>
      <c r="Q38" s="165"/>
      <c r="R38" s="76"/>
      <c r="S38" s="76"/>
      <c r="T38" s="76"/>
      <c r="U38" s="76"/>
      <c r="V38" s="76"/>
      <c r="W38" s="76"/>
      <c r="X38" s="76"/>
      <c r="Y38" s="95">
        <f>SUM(C38:X38)</f>
        <v>0</v>
      </c>
    </row>
    <row r="39" spans="1:25" s="91" customFormat="1" ht="21" customHeight="1">
      <c r="A39" s="426" t="s">
        <v>174</v>
      </c>
      <c r="B39" s="427"/>
      <c r="C39" s="95">
        <f>SUM(C29:C38)</f>
        <v>0</v>
      </c>
      <c r="D39" s="95">
        <f t="shared" ref="D39:Y39" si="10">SUM(D29:D38)</f>
        <v>0</v>
      </c>
      <c r="E39" s="95">
        <f t="shared" si="10"/>
        <v>0</v>
      </c>
      <c r="F39" s="95">
        <f t="shared" si="10"/>
        <v>0</v>
      </c>
      <c r="G39" s="95">
        <f t="shared" si="10"/>
        <v>0</v>
      </c>
      <c r="H39" s="95">
        <f t="shared" si="10"/>
        <v>0</v>
      </c>
      <c r="I39" s="95">
        <f t="shared" si="10"/>
        <v>0</v>
      </c>
      <c r="J39" s="95">
        <f t="shared" si="10"/>
        <v>0</v>
      </c>
      <c r="K39" s="95">
        <f t="shared" si="10"/>
        <v>0</v>
      </c>
      <c r="L39" s="95">
        <f t="shared" si="10"/>
        <v>0</v>
      </c>
      <c r="M39" s="95">
        <f t="shared" si="10"/>
        <v>0</v>
      </c>
      <c r="N39" s="95">
        <f t="shared" si="10"/>
        <v>0</v>
      </c>
      <c r="O39" s="95">
        <f t="shared" si="10"/>
        <v>0</v>
      </c>
      <c r="P39" s="95">
        <f t="shared" si="10"/>
        <v>0</v>
      </c>
      <c r="Q39" s="95">
        <f t="shared" si="10"/>
        <v>0</v>
      </c>
      <c r="R39" s="95">
        <f t="shared" si="10"/>
        <v>0</v>
      </c>
      <c r="S39" s="95">
        <f t="shared" si="10"/>
        <v>0</v>
      </c>
      <c r="T39" s="95">
        <f t="shared" si="10"/>
        <v>0</v>
      </c>
      <c r="U39" s="95">
        <f t="shared" si="10"/>
        <v>0</v>
      </c>
      <c r="V39" s="95">
        <f t="shared" si="10"/>
        <v>0</v>
      </c>
      <c r="W39" s="95">
        <f t="shared" si="10"/>
        <v>0</v>
      </c>
      <c r="X39" s="95">
        <f t="shared" si="10"/>
        <v>0</v>
      </c>
      <c r="Y39" s="95">
        <f t="shared" si="10"/>
        <v>0</v>
      </c>
    </row>
    <row r="40" spans="1:25" s="91" customFormat="1" ht="21" customHeight="1">
      <c r="A40" s="428" t="s">
        <v>175</v>
      </c>
      <c r="B40" s="429"/>
      <c r="C40" s="99">
        <f>+C39</f>
        <v>0</v>
      </c>
      <c r="D40" s="99">
        <f t="shared" ref="D40:X40" si="11">+D39</f>
        <v>0</v>
      </c>
      <c r="E40" s="99">
        <f t="shared" si="11"/>
        <v>0</v>
      </c>
      <c r="F40" s="99">
        <f t="shared" si="11"/>
        <v>0</v>
      </c>
      <c r="G40" s="99">
        <f t="shared" si="11"/>
        <v>0</v>
      </c>
      <c r="H40" s="99">
        <f t="shared" si="11"/>
        <v>0</v>
      </c>
      <c r="I40" s="99">
        <f t="shared" si="11"/>
        <v>0</v>
      </c>
      <c r="J40" s="99">
        <f t="shared" si="11"/>
        <v>0</v>
      </c>
      <c r="K40" s="99">
        <f t="shared" si="11"/>
        <v>0</v>
      </c>
      <c r="L40" s="99">
        <f t="shared" si="11"/>
        <v>0</v>
      </c>
      <c r="M40" s="99">
        <f t="shared" si="11"/>
        <v>0</v>
      </c>
      <c r="N40" s="99">
        <f t="shared" si="11"/>
        <v>0</v>
      </c>
      <c r="O40" s="99">
        <f t="shared" si="11"/>
        <v>0</v>
      </c>
      <c r="P40" s="99">
        <f t="shared" si="11"/>
        <v>0</v>
      </c>
      <c r="Q40" s="99">
        <f t="shared" si="11"/>
        <v>0</v>
      </c>
      <c r="R40" s="99">
        <f t="shared" si="11"/>
        <v>0</v>
      </c>
      <c r="S40" s="99">
        <f t="shared" si="11"/>
        <v>0</v>
      </c>
      <c r="T40" s="99">
        <f t="shared" si="11"/>
        <v>0</v>
      </c>
      <c r="U40" s="99">
        <f t="shared" si="11"/>
        <v>0</v>
      </c>
      <c r="V40" s="99">
        <f t="shared" si="11"/>
        <v>0</v>
      </c>
      <c r="W40" s="99">
        <f t="shared" si="11"/>
        <v>0</v>
      </c>
      <c r="X40" s="99">
        <f t="shared" si="11"/>
        <v>0</v>
      </c>
      <c r="Y40" s="99">
        <f>+Y39</f>
        <v>0</v>
      </c>
    </row>
    <row r="41" spans="1:25" s="91" customFormat="1" ht="21" customHeight="1">
      <c r="A41" s="432" t="s">
        <v>388</v>
      </c>
      <c r="B41" s="433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67"/>
      <c r="P41" s="167"/>
      <c r="Q41" s="167"/>
      <c r="R41" s="100"/>
      <c r="S41" s="100"/>
      <c r="T41" s="100"/>
      <c r="U41" s="100"/>
      <c r="V41" s="100"/>
      <c r="W41" s="100"/>
      <c r="X41" s="100"/>
      <c r="Y41" s="101">
        <f t="shared" ref="Y41:Y46" si="12">SUM(C41:X41)</f>
        <v>0</v>
      </c>
    </row>
    <row r="42" spans="1:25" s="91" customFormat="1" ht="21" customHeight="1">
      <c r="A42" s="93">
        <v>310100</v>
      </c>
      <c r="B42" s="68" t="s">
        <v>182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164"/>
      <c r="P42" s="164"/>
      <c r="Q42" s="164"/>
      <c r="R42" s="70"/>
      <c r="S42" s="70"/>
      <c r="T42" s="70"/>
      <c r="U42" s="70"/>
      <c r="V42" s="70"/>
      <c r="W42" s="70"/>
      <c r="X42" s="70"/>
      <c r="Y42" s="95">
        <f t="shared" si="12"/>
        <v>0</v>
      </c>
    </row>
    <row r="43" spans="1:25" s="91" customFormat="1" ht="21" customHeight="1">
      <c r="A43" s="93">
        <v>310200</v>
      </c>
      <c r="B43" s="68" t="s">
        <v>183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164"/>
      <c r="P43" s="164"/>
      <c r="Q43" s="164"/>
      <c r="R43" s="70"/>
      <c r="S43" s="70"/>
      <c r="T43" s="70"/>
      <c r="U43" s="70"/>
      <c r="V43" s="70"/>
      <c r="W43" s="70"/>
      <c r="X43" s="70"/>
      <c r="Y43" s="95">
        <f t="shared" si="12"/>
        <v>0</v>
      </c>
    </row>
    <row r="44" spans="1:25" s="91" customFormat="1" ht="21" customHeight="1">
      <c r="A44" s="93">
        <v>310300</v>
      </c>
      <c r="B44" s="68" t="s">
        <v>184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164"/>
      <c r="P44" s="164"/>
      <c r="Q44" s="164"/>
      <c r="R44" s="70"/>
      <c r="S44" s="70"/>
      <c r="T44" s="70"/>
      <c r="U44" s="70"/>
      <c r="V44" s="70"/>
      <c r="W44" s="70"/>
      <c r="X44" s="70"/>
      <c r="Y44" s="95">
        <f t="shared" si="12"/>
        <v>0</v>
      </c>
    </row>
    <row r="45" spans="1:25" s="91" customFormat="1" ht="21" customHeight="1">
      <c r="A45" s="93">
        <v>310400</v>
      </c>
      <c r="B45" s="68" t="s">
        <v>185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164"/>
      <c r="P45" s="164"/>
      <c r="Q45" s="164"/>
      <c r="R45" s="70"/>
      <c r="S45" s="70"/>
      <c r="T45" s="70"/>
      <c r="U45" s="70"/>
      <c r="V45" s="70"/>
      <c r="W45" s="70"/>
      <c r="X45" s="70"/>
      <c r="Y45" s="95">
        <f t="shared" si="12"/>
        <v>0</v>
      </c>
    </row>
    <row r="46" spans="1:25" s="91" customFormat="1" ht="21" customHeight="1">
      <c r="A46" s="93">
        <v>310500</v>
      </c>
      <c r="B46" s="68" t="s">
        <v>409</v>
      </c>
      <c r="C46" s="70"/>
      <c r="D46" s="70"/>
      <c r="E46" s="70"/>
      <c r="F46" s="70"/>
      <c r="G46" s="70"/>
      <c r="H46" s="70"/>
      <c r="I46" s="70"/>
      <c r="J46" s="70"/>
      <c r="K46" s="70"/>
      <c r="L46" s="70">
        <v>20000</v>
      </c>
      <c r="M46" s="70"/>
      <c r="N46" s="70"/>
      <c r="O46" s="164"/>
      <c r="P46" s="164"/>
      <c r="Q46" s="164"/>
      <c r="R46" s="70"/>
      <c r="S46" s="70"/>
      <c r="T46" s="70"/>
      <c r="U46" s="70"/>
      <c r="V46" s="70"/>
      <c r="W46" s="70"/>
      <c r="X46" s="70"/>
      <c r="Y46" s="95">
        <f t="shared" si="12"/>
        <v>20000</v>
      </c>
    </row>
    <row r="47" spans="1:25" s="91" customFormat="1" ht="21" customHeight="1">
      <c r="A47" s="96">
        <v>310600</v>
      </c>
      <c r="B47" s="69" t="s">
        <v>187</v>
      </c>
      <c r="C47" s="70"/>
      <c r="D47" s="70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165"/>
      <c r="P47" s="165"/>
      <c r="Q47" s="165"/>
      <c r="R47" s="76"/>
      <c r="S47" s="76"/>
      <c r="T47" s="76"/>
      <c r="U47" s="76"/>
      <c r="V47" s="76"/>
      <c r="W47" s="76"/>
      <c r="X47" s="76"/>
      <c r="Y47" s="98">
        <f>SUM(C47:X47)</f>
        <v>0</v>
      </c>
    </row>
    <row r="48" spans="1:25" s="91" customFormat="1" ht="21" customHeight="1">
      <c r="A48" s="96">
        <v>310700</v>
      </c>
      <c r="B48" s="69" t="s">
        <v>410</v>
      </c>
      <c r="C48" s="70"/>
      <c r="D48" s="70"/>
      <c r="E48" s="76"/>
      <c r="F48" s="76"/>
      <c r="G48" s="76"/>
      <c r="H48" s="76"/>
      <c r="I48" s="76"/>
      <c r="J48" s="76"/>
      <c r="K48" s="76"/>
      <c r="L48" s="76">
        <v>-20000</v>
      </c>
      <c r="M48" s="76"/>
      <c r="N48" s="76"/>
      <c r="O48" s="165"/>
      <c r="P48" s="165"/>
      <c r="Q48" s="165"/>
      <c r="R48" s="76"/>
      <c r="S48" s="76"/>
      <c r="T48" s="76"/>
      <c r="U48" s="76"/>
      <c r="V48" s="76"/>
      <c r="W48" s="76"/>
      <c r="X48" s="76"/>
      <c r="Y48" s="98">
        <f>SUM(C48:X48)</f>
        <v>-20000</v>
      </c>
    </row>
    <row r="49" spans="1:25" s="91" customFormat="1" ht="21" customHeight="1">
      <c r="A49" s="426" t="s">
        <v>174</v>
      </c>
      <c r="B49" s="427"/>
      <c r="C49" s="95">
        <f>SUM(C42:C48)</f>
        <v>0</v>
      </c>
      <c r="D49" s="95">
        <f t="shared" ref="D49:Y49" si="13">SUM(D42:D48)</f>
        <v>0</v>
      </c>
      <c r="E49" s="95">
        <f t="shared" si="13"/>
        <v>0</v>
      </c>
      <c r="F49" s="95">
        <f t="shared" si="13"/>
        <v>0</v>
      </c>
      <c r="G49" s="95">
        <f t="shared" si="13"/>
        <v>0</v>
      </c>
      <c r="H49" s="95">
        <f t="shared" si="13"/>
        <v>0</v>
      </c>
      <c r="I49" s="95">
        <f t="shared" si="13"/>
        <v>0</v>
      </c>
      <c r="J49" s="95">
        <f t="shared" si="13"/>
        <v>0</v>
      </c>
      <c r="K49" s="95">
        <f t="shared" si="13"/>
        <v>0</v>
      </c>
      <c r="L49" s="95">
        <f t="shared" si="13"/>
        <v>0</v>
      </c>
      <c r="M49" s="95">
        <f t="shared" si="13"/>
        <v>0</v>
      </c>
      <c r="N49" s="95">
        <f t="shared" si="13"/>
        <v>0</v>
      </c>
      <c r="O49" s="95">
        <f t="shared" si="13"/>
        <v>0</v>
      </c>
      <c r="P49" s="95">
        <f t="shared" si="13"/>
        <v>0</v>
      </c>
      <c r="Q49" s="95">
        <f t="shared" si="13"/>
        <v>0</v>
      </c>
      <c r="R49" s="95">
        <f t="shared" si="13"/>
        <v>0</v>
      </c>
      <c r="S49" s="95">
        <f t="shared" si="13"/>
        <v>0</v>
      </c>
      <c r="T49" s="95">
        <f t="shared" si="13"/>
        <v>0</v>
      </c>
      <c r="U49" s="95">
        <f t="shared" si="13"/>
        <v>0</v>
      </c>
      <c r="V49" s="95">
        <f t="shared" si="13"/>
        <v>0</v>
      </c>
      <c r="W49" s="95">
        <f t="shared" si="13"/>
        <v>0</v>
      </c>
      <c r="X49" s="95">
        <f t="shared" si="13"/>
        <v>0</v>
      </c>
      <c r="Y49" s="95">
        <f t="shared" si="13"/>
        <v>0</v>
      </c>
    </row>
    <row r="50" spans="1:25" s="91" customFormat="1" ht="21" customHeight="1">
      <c r="A50" s="428" t="s">
        <v>175</v>
      </c>
      <c r="B50" s="429"/>
      <c r="C50" s="99">
        <f>+C49</f>
        <v>0</v>
      </c>
      <c r="D50" s="99">
        <f t="shared" ref="D50:Y50" si="14">+D49</f>
        <v>0</v>
      </c>
      <c r="E50" s="99">
        <f t="shared" si="14"/>
        <v>0</v>
      </c>
      <c r="F50" s="99">
        <f t="shared" si="14"/>
        <v>0</v>
      </c>
      <c r="G50" s="99">
        <f t="shared" si="14"/>
        <v>0</v>
      </c>
      <c r="H50" s="99">
        <f t="shared" si="14"/>
        <v>0</v>
      </c>
      <c r="I50" s="99">
        <f t="shared" si="14"/>
        <v>0</v>
      </c>
      <c r="J50" s="99">
        <f t="shared" si="14"/>
        <v>0</v>
      </c>
      <c r="K50" s="99">
        <f t="shared" si="14"/>
        <v>0</v>
      </c>
      <c r="L50" s="99">
        <f t="shared" si="14"/>
        <v>0</v>
      </c>
      <c r="M50" s="99">
        <f t="shared" si="14"/>
        <v>0</v>
      </c>
      <c r="N50" s="99">
        <f t="shared" si="14"/>
        <v>0</v>
      </c>
      <c r="O50" s="99">
        <f t="shared" si="14"/>
        <v>0</v>
      </c>
      <c r="P50" s="99">
        <f t="shared" si="14"/>
        <v>0</v>
      </c>
      <c r="Q50" s="99">
        <f t="shared" si="14"/>
        <v>0</v>
      </c>
      <c r="R50" s="99">
        <f t="shared" si="14"/>
        <v>0</v>
      </c>
      <c r="S50" s="99">
        <f t="shared" si="14"/>
        <v>0</v>
      </c>
      <c r="T50" s="99">
        <f t="shared" si="14"/>
        <v>0</v>
      </c>
      <c r="U50" s="99">
        <f t="shared" si="14"/>
        <v>0</v>
      </c>
      <c r="V50" s="99">
        <f t="shared" si="14"/>
        <v>0</v>
      </c>
      <c r="W50" s="99">
        <f t="shared" si="14"/>
        <v>0</v>
      </c>
      <c r="X50" s="99">
        <f t="shared" si="14"/>
        <v>0</v>
      </c>
      <c r="Y50" s="99">
        <f t="shared" si="14"/>
        <v>0</v>
      </c>
    </row>
    <row r="51" spans="1:25" s="91" customFormat="1" ht="21" customHeight="1">
      <c r="A51" s="432" t="s">
        <v>389</v>
      </c>
      <c r="B51" s="433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67"/>
      <c r="P51" s="167"/>
      <c r="Q51" s="167"/>
      <c r="R51" s="100"/>
      <c r="S51" s="100"/>
      <c r="T51" s="100"/>
      <c r="U51" s="100"/>
      <c r="V51" s="100"/>
      <c r="W51" s="100"/>
      <c r="X51" s="100"/>
      <c r="Y51" s="101">
        <f t="shared" ref="Y51" si="15">SUM(C51:X51)</f>
        <v>0</v>
      </c>
    </row>
    <row r="52" spans="1:25" s="91" customFormat="1" ht="21" customHeight="1">
      <c r="A52" s="93">
        <v>320100</v>
      </c>
      <c r="B52" s="68" t="s">
        <v>188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164"/>
      <c r="P52" s="164"/>
      <c r="Q52" s="164"/>
      <c r="R52" s="70"/>
      <c r="S52" s="70"/>
      <c r="T52" s="70"/>
      <c r="U52" s="70"/>
      <c r="V52" s="70"/>
      <c r="W52" s="70"/>
      <c r="X52" s="70"/>
      <c r="Y52" s="95">
        <f>SUM(C52:X52)</f>
        <v>0</v>
      </c>
    </row>
    <row r="53" spans="1:25" s="91" customFormat="1" ht="21" customHeight="1">
      <c r="A53" s="93">
        <v>320200</v>
      </c>
      <c r="B53" s="68" t="s">
        <v>189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164"/>
      <c r="P53" s="164"/>
      <c r="Q53" s="164"/>
      <c r="R53" s="70"/>
      <c r="S53" s="70"/>
      <c r="T53" s="70"/>
      <c r="U53" s="70"/>
      <c r="V53" s="70"/>
      <c r="W53" s="70"/>
      <c r="X53" s="70"/>
      <c r="Y53" s="95">
        <f>SUM(C53:X53)</f>
        <v>0</v>
      </c>
    </row>
    <row r="54" spans="1:25" s="91" customFormat="1" ht="21" customHeight="1">
      <c r="A54" s="93">
        <v>320300</v>
      </c>
      <c r="B54" s="68" t="s">
        <v>190</v>
      </c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164"/>
      <c r="P54" s="164"/>
      <c r="Q54" s="164"/>
      <c r="R54" s="70"/>
      <c r="S54" s="70"/>
      <c r="T54" s="70"/>
      <c r="U54" s="70"/>
      <c r="V54" s="70"/>
      <c r="W54" s="70"/>
      <c r="X54" s="70"/>
      <c r="Y54" s="95">
        <f>SUM(C54:X54)</f>
        <v>0</v>
      </c>
    </row>
    <row r="55" spans="1:25" s="91" customFormat="1" ht="21" customHeight="1">
      <c r="A55" s="96">
        <v>320400</v>
      </c>
      <c r="B55" s="69" t="s">
        <v>191</v>
      </c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165"/>
      <c r="P55" s="165"/>
      <c r="Q55" s="165"/>
      <c r="R55" s="76"/>
      <c r="S55" s="76"/>
      <c r="T55" s="76"/>
      <c r="U55" s="76"/>
      <c r="V55" s="76"/>
      <c r="W55" s="76"/>
      <c r="X55" s="76"/>
      <c r="Y55" s="95">
        <f>SUM(C55:X55)</f>
        <v>0</v>
      </c>
    </row>
    <row r="56" spans="1:25" s="91" customFormat="1" ht="21" customHeight="1">
      <c r="A56" s="426" t="s">
        <v>174</v>
      </c>
      <c r="B56" s="427"/>
      <c r="C56" s="95">
        <f>SUM(C52:C55)</f>
        <v>0</v>
      </c>
      <c r="D56" s="95">
        <f t="shared" ref="D56:X56" si="16">SUM(D52:D55)</f>
        <v>0</v>
      </c>
      <c r="E56" s="95">
        <f t="shared" si="16"/>
        <v>0</v>
      </c>
      <c r="F56" s="95">
        <f t="shared" si="16"/>
        <v>0</v>
      </c>
      <c r="G56" s="95">
        <f t="shared" si="16"/>
        <v>0</v>
      </c>
      <c r="H56" s="95">
        <f t="shared" si="16"/>
        <v>0</v>
      </c>
      <c r="I56" s="95">
        <f t="shared" si="16"/>
        <v>0</v>
      </c>
      <c r="J56" s="95">
        <f t="shared" si="16"/>
        <v>0</v>
      </c>
      <c r="K56" s="95">
        <f t="shared" si="16"/>
        <v>0</v>
      </c>
      <c r="L56" s="95">
        <f t="shared" si="16"/>
        <v>0</v>
      </c>
      <c r="M56" s="95">
        <f t="shared" si="16"/>
        <v>0</v>
      </c>
      <c r="N56" s="95">
        <f t="shared" si="16"/>
        <v>0</v>
      </c>
      <c r="O56" s="95">
        <f t="shared" si="16"/>
        <v>0</v>
      </c>
      <c r="P56" s="95">
        <f t="shared" si="16"/>
        <v>0</v>
      </c>
      <c r="Q56" s="95">
        <f t="shared" si="16"/>
        <v>0</v>
      </c>
      <c r="R56" s="95">
        <f t="shared" si="16"/>
        <v>0</v>
      </c>
      <c r="S56" s="95">
        <f t="shared" si="16"/>
        <v>0</v>
      </c>
      <c r="T56" s="95">
        <f t="shared" si="16"/>
        <v>0</v>
      </c>
      <c r="U56" s="95">
        <f t="shared" si="16"/>
        <v>0</v>
      </c>
      <c r="V56" s="95">
        <f t="shared" si="16"/>
        <v>0</v>
      </c>
      <c r="W56" s="95">
        <f>SUM(W52:W55)</f>
        <v>0</v>
      </c>
      <c r="X56" s="95">
        <f t="shared" si="16"/>
        <v>0</v>
      </c>
      <c r="Y56" s="95">
        <f>SUM(Y52:Y55)</f>
        <v>0</v>
      </c>
    </row>
    <row r="57" spans="1:25" s="91" customFormat="1" ht="21" customHeight="1">
      <c r="A57" s="428" t="s">
        <v>175</v>
      </c>
      <c r="B57" s="429"/>
      <c r="C57" s="99">
        <f>+C56</f>
        <v>0</v>
      </c>
      <c r="D57" s="99">
        <f t="shared" ref="D57:Y57" si="17">+D56</f>
        <v>0</v>
      </c>
      <c r="E57" s="99">
        <f t="shared" si="17"/>
        <v>0</v>
      </c>
      <c r="F57" s="99">
        <f t="shared" si="17"/>
        <v>0</v>
      </c>
      <c r="G57" s="99">
        <f t="shared" si="17"/>
        <v>0</v>
      </c>
      <c r="H57" s="99">
        <f t="shared" si="17"/>
        <v>0</v>
      </c>
      <c r="I57" s="99">
        <f t="shared" si="17"/>
        <v>0</v>
      </c>
      <c r="J57" s="99">
        <f t="shared" si="17"/>
        <v>0</v>
      </c>
      <c r="K57" s="99">
        <f t="shared" si="17"/>
        <v>0</v>
      </c>
      <c r="L57" s="99">
        <f t="shared" si="17"/>
        <v>0</v>
      </c>
      <c r="M57" s="99">
        <f t="shared" si="17"/>
        <v>0</v>
      </c>
      <c r="N57" s="99">
        <f t="shared" si="17"/>
        <v>0</v>
      </c>
      <c r="O57" s="99">
        <f t="shared" si="17"/>
        <v>0</v>
      </c>
      <c r="P57" s="99">
        <f t="shared" si="17"/>
        <v>0</v>
      </c>
      <c r="Q57" s="99">
        <f t="shared" si="17"/>
        <v>0</v>
      </c>
      <c r="R57" s="99">
        <f t="shared" si="17"/>
        <v>0</v>
      </c>
      <c r="S57" s="99">
        <f t="shared" si="17"/>
        <v>0</v>
      </c>
      <c r="T57" s="99">
        <f t="shared" si="17"/>
        <v>0</v>
      </c>
      <c r="U57" s="99">
        <f t="shared" si="17"/>
        <v>0</v>
      </c>
      <c r="V57" s="99">
        <f t="shared" si="17"/>
        <v>0</v>
      </c>
      <c r="W57" s="99">
        <f t="shared" si="17"/>
        <v>0</v>
      </c>
      <c r="X57" s="99">
        <f t="shared" si="17"/>
        <v>0</v>
      </c>
      <c r="Y57" s="99">
        <f t="shared" si="17"/>
        <v>0</v>
      </c>
    </row>
    <row r="58" spans="1:25" s="91" customFormat="1" ht="21" customHeight="1">
      <c r="A58" s="432" t="s">
        <v>390</v>
      </c>
      <c r="B58" s="433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67"/>
      <c r="P58" s="167"/>
      <c r="Q58" s="167"/>
      <c r="R58" s="100"/>
      <c r="S58" s="100"/>
      <c r="T58" s="100"/>
      <c r="U58" s="100"/>
      <c r="V58" s="100"/>
      <c r="W58" s="100"/>
      <c r="X58" s="100"/>
      <c r="Y58" s="101">
        <f>SUM(C58:X58)</f>
        <v>0</v>
      </c>
    </row>
    <row r="59" spans="1:25" s="91" customFormat="1" ht="21" customHeight="1">
      <c r="A59" s="93">
        <v>330100</v>
      </c>
      <c r="B59" s="68" t="s">
        <v>192</v>
      </c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164"/>
      <c r="P59" s="164"/>
      <c r="Q59" s="164"/>
      <c r="R59" s="70"/>
      <c r="S59" s="70"/>
      <c r="T59" s="70"/>
      <c r="U59" s="70"/>
      <c r="V59" s="70"/>
      <c r="W59" s="70"/>
      <c r="X59" s="70"/>
      <c r="Y59" s="95">
        <f>SUM(C59:X59)</f>
        <v>0</v>
      </c>
    </row>
    <row r="60" spans="1:25" s="91" customFormat="1" ht="21" customHeight="1">
      <c r="A60" s="93">
        <v>330200</v>
      </c>
      <c r="B60" s="68" t="s">
        <v>193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164"/>
      <c r="P60" s="164"/>
      <c r="Q60" s="164"/>
      <c r="R60" s="70"/>
      <c r="S60" s="70"/>
      <c r="T60" s="70"/>
      <c r="U60" s="70"/>
      <c r="V60" s="70"/>
      <c r="W60" s="70"/>
      <c r="X60" s="70"/>
      <c r="Y60" s="95">
        <f t="shared" ref="Y60:Y64" si="18">SUM(C60:X60)</f>
        <v>0</v>
      </c>
    </row>
    <row r="61" spans="1:25" s="91" customFormat="1" ht="21" customHeight="1">
      <c r="A61" s="93">
        <v>330300</v>
      </c>
      <c r="B61" s="68" t="s">
        <v>235</v>
      </c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164"/>
      <c r="P61" s="164"/>
      <c r="Q61" s="164"/>
      <c r="R61" s="70"/>
      <c r="S61" s="70"/>
      <c r="T61" s="70"/>
      <c r="U61" s="70"/>
      <c r="V61" s="70"/>
      <c r="W61" s="70"/>
      <c r="X61" s="70"/>
      <c r="Y61" s="95">
        <f t="shared" si="18"/>
        <v>0</v>
      </c>
    </row>
    <row r="62" spans="1:25" s="91" customFormat="1" ht="21" customHeight="1">
      <c r="A62" s="93">
        <v>330400</v>
      </c>
      <c r="B62" s="68" t="s">
        <v>210</v>
      </c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164"/>
      <c r="P62" s="164"/>
      <c r="Q62" s="164"/>
      <c r="R62" s="70"/>
      <c r="S62" s="70"/>
      <c r="T62" s="70"/>
      <c r="U62" s="70"/>
      <c r="V62" s="70"/>
      <c r="W62" s="70"/>
      <c r="X62" s="70"/>
      <c r="Y62" s="95">
        <f t="shared" si="18"/>
        <v>0</v>
      </c>
    </row>
    <row r="63" spans="1:25" s="91" customFormat="1" ht="21" customHeight="1">
      <c r="A63" s="93">
        <v>330600</v>
      </c>
      <c r="B63" s="68" t="s">
        <v>194</v>
      </c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164"/>
      <c r="P63" s="164"/>
      <c r="Q63" s="164"/>
      <c r="R63" s="70"/>
      <c r="S63" s="70"/>
      <c r="T63" s="70"/>
      <c r="U63" s="70"/>
      <c r="V63" s="70"/>
      <c r="W63" s="70"/>
      <c r="X63" s="70"/>
      <c r="Y63" s="95">
        <f t="shared" si="18"/>
        <v>0</v>
      </c>
    </row>
    <row r="64" spans="1:25" s="91" customFormat="1" ht="21" customHeight="1">
      <c r="A64" s="93">
        <v>330700</v>
      </c>
      <c r="B64" s="68" t="s">
        <v>310</v>
      </c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164"/>
      <c r="P64" s="164"/>
      <c r="Q64" s="164"/>
      <c r="R64" s="70"/>
      <c r="S64" s="70"/>
      <c r="T64" s="70"/>
      <c r="U64" s="70"/>
      <c r="V64" s="70"/>
      <c r="W64" s="70"/>
      <c r="X64" s="70"/>
      <c r="Y64" s="95">
        <f t="shared" si="18"/>
        <v>0</v>
      </c>
    </row>
    <row r="65" spans="1:25" s="91" customFormat="1" ht="21" customHeight="1">
      <c r="A65" s="93">
        <v>330800</v>
      </c>
      <c r="B65" s="68" t="s">
        <v>195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164"/>
      <c r="P65" s="164"/>
      <c r="Q65" s="164"/>
      <c r="R65" s="70"/>
      <c r="S65" s="70"/>
      <c r="T65" s="70"/>
      <c r="U65" s="70"/>
      <c r="V65" s="70"/>
      <c r="W65" s="70"/>
      <c r="X65" s="70"/>
      <c r="Y65" s="95">
        <f>SUM(C65:X65)</f>
        <v>0</v>
      </c>
    </row>
    <row r="66" spans="1:25" s="91" customFormat="1" ht="21" customHeight="1">
      <c r="A66" s="93">
        <v>330900</v>
      </c>
      <c r="B66" s="68" t="s">
        <v>197</v>
      </c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164"/>
      <c r="P66" s="164"/>
      <c r="Q66" s="164"/>
      <c r="R66" s="70"/>
      <c r="S66" s="70"/>
      <c r="T66" s="70"/>
      <c r="U66" s="70"/>
      <c r="V66" s="70"/>
      <c r="W66" s="70"/>
      <c r="X66" s="70"/>
      <c r="Y66" s="95">
        <f t="shared" ref="Y66" si="19">SUM(C66:X66)</f>
        <v>0</v>
      </c>
    </row>
    <row r="67" spans="1:25" s="91" customFormat="1" ht="21" customHeight="1">
      <c r="A67" s="435" t="s">
        <v>139</v>
      </c>
      <c r="B67" s="435"/>
      <c r="C67" s="434" t="s">
        <v>141</v>
      </c>
      <c r="D67" s="434"/>
      <c r="E67" s="437" t="s">
        <v>144</v>
      </c>
      <c r="F67" s="438"/>
      <c r="G67" s="434" t="s">
        <v>146</v>
      </c>
      <c r="H67" s="435"/>
      <c r="I67" s="437" t="s">
        <v>160</v>
      </c>
      <c r="J67" s="438"/>
      <c r="K67" s="290" t="s">
        <v>161</v>
      </c>
      <c r="L67" s="437" t="s">
        <v>162</v>
      </c>
      <c r="M67" s="439"/>
      <c r="N67" s="439"/>
      <c r="O67" s="438"/>
      <c r="P67" s="437" t="s">
        <v>163</v>
      </c>
      <c r="Q67" s="438"/>
      <c r="R67" s="437" t="s">
        <v>164</v>
      </c>
      <c r="S67" s="439"/>
      <c r="T67" s="438"/>
      <c r="U67" s="434" t="s">
        <v>165</v>
      </c>
      <c r="V67" s="435"/>
      <c r="W67" s="290" t="s">
        <v>212</v>
      </c>
      <c r="X67" s="290" t="s">
        <v>166</v>
      </c>
      <c r="Y67" s="436" t="s">
        <v>17</v>
      </c>
    </row>
    <row r="68" spans="1:25" ht="21" customHeight="1">
      <c r="A68" s="435" t="s">
        <v>140</v>
      </c>
      <c r="B68" s="435"/>
      <c r="C68" s="290" t="s">
        <v>142</v>
      </c>
      <c r="D68" s="290" t="s">
        <v>143</v>
      </c>
      <c r="E68" s="290" t="s">
        <v>145</v>
      </c>
      <c r="F68" s="290" t="s">
        <v>214</v>
      </c>
      <c r="G68" s="290" t="s">
        <v>147</v>
      </c>
      <c r="H68" s="290" t="s">
        <v>148</v>
      </c>
      <c r="I68" s="290" t="s">
        <v>149</v>
      </c>
      <c r="J68" s="290" t="s">
        <v>150</v>
      </c>
      <c r="K68" s="290" t="s">
        <v>151</v>
      </c>
      <c r="L68" s="290" t="s">
        <v>152</v>
      </c>
      <c r="M68" s="290" t="s">
        <v>153</v>
      </c>
      <c r="N68" s="290" t="s">
        <v>238</v>
      </c>
      <c r="O68" s="290" t="s">
        <v>331</v>
      </c>
      <c r="P68" s="291" t="s">
        <v>303</v>
      </c>
      <c r="Q68" s="291" t="s">
        <v>154</v>
      </c>
      <c r="R68" s="290" t="s">
        <v>155</v>
      </c>
      <c r="S68" s="290" t="s">
        <v>156</v>
      </c>
      <c r="T68" s="290" t="s">
        <v>216</v>
      </c>
      <c r="U68" s="290" t="s">
        <v>157</v>
      </c>
      <c r="V68" s="290" t="s">
        <v>158</v>
      </c>
      <c r="W68" s="290" t="s">
        <v>213</v>
      </c>
      <c r="X68" s="290" t="s">
        <v>159</v>
      </c>
      <c r="Y68" s="436"/>
    </row>
    <row r="69" spans="1:25" ht="21" customHeight="1">
      <c r="A69" s="224">
        <v>331000</v>
      </c>
      <c r="B69" s="227" t="s">
        <v>300</v>
      </c>
      <c r="C69" s="228"/>
      <c r="D69" s="225"/>
      <c r="E69" s="225"/>
      <c r="F69" s="225"/>
      <c r="G69" s="225"/>
      <c r="H69" s="225"/>
      <c r="I69" s="225"/>
      <c r="J69" s="225"/>
      <c r="K69" s="225"/>
      <c r="L69" s="225"/>
      <c r="M69" s="225"/>
      <c r="N69" s="225"/>
      <c r="O69" s="226"/>
      <c r="P69" s="226"/>
      <c r="Q69" s="226"/>
      <c r="R69" s="225"/>
      <c r="S69" s="225"/>
      <c r="T69" s="225"/>
      <c r="U69" s="225"/>
      <c r="V69" s="225"/>
      <c r="W69" s="225"/>
      <c r="X69" s="225"/>
      <c r="Y69" s="95">
        <f>SUM(C69:X69)</f>
        <v>0</v>
      </c>
    </row>
    <row r="70" spans="1:25" ht="21" customHeight="1">
      <c r="A70" s="93">
        <v>331200</v>
      </c>
      <c r="B70" s="68" t="s">
        <v>198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164"/>
      <c r="P70" s="164"/>
      <c r="Q70" s="164"/>
      <c r="R70" s="70"/>
      <c r="S70" s="70"/>
      <c r="T70" s="70"/>
      <c r="U70" s="70"/>
      <c r="V70" s="70"/>
      <c r="W70" s="70"/>
      <c r="X70" s="70"/>
      <c r="Y70" s="95">
        <f>SUM(C70:X70)</f>
        <v>0</v>
      </c>
    </row>
    <row r="71" spans="1:25" ht="21" customHeight="1">
      <c r="A71" s="93">
        <v>331300</v>
      </c>
      <c r="B71" s="68" t="s">
        <v>199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164"/>
      <c r="P71" s="164"/>
      <c r="Q71" s="164"/>
      <c r="R71" s="70"/>
      <c r="S71" s="70"/>
      <c r="T71" s="70"/>
      <c r="U71" s="70"/>
      <c r="V71" s="70"/>
      <c r="W71" s="70"/>
      <c r="X71" s="70"/>
      <c r="Y71" s="95">
        <f t="shared" ref="Y71:Y74" si="20">SUM(C71:X71)</f>
        <v>0</v>
      </c>
    </row>
    <row r="72" spans="1:25" ht="21" customHeight="1">
      <c r="A72" s="93">
        <v>331400</v>
      </c>
      <c r="B72" s="68" t="s">
        <v>196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164"/>
      <c r="P72" s="164"/>
      <c r="Q72" s="164"/>
      <c r="R72" s="70"/>
      <c r="S72" s="70"/>
      <c r="T72" s="70"/>
      <c r="U72" s="70"/>
      <c r="V72" s="70"/>
      <c r="W72" s="70"/>
      <c r="X72" s="70"/>
      <c r="Y72" s="95">
        <f t="shared" si="20"/>
        <v>0</v>
      </c>
    </row>
    <row r="73" spans="1:25" ht="21" customHeight="1">
      <c r="A73" s="93">
        <v>331500</v>
      </c>
      <c r="B73" s="68" t="s">
        <v>200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164"/>
      <c r="P73" s="164"/>
      <c r="Q73" s="164"/>
      <c r="R73" s="70"/>
      <c r="S73" s="70"/>
      <c r="T73" s="70"/>
      <c r="U73" s="70"/>
      <c r="V73" s="70"/>
      <c r="W73" s="70"/>
      <c r="X73" s="70"/>
      <c r="Y73" s="95">
        <f t="shared" si="20"/>
        <v>0</v>
      </c>
    </row>
    <row r="74" spans="1:25" ht="21" customHeight="1">
      <c r="A74" s="96">
        <v>331700</v>
      </c>
      <c r="B74" s="69" t="s">
        <v>201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165"/>
      <c r="P74" s="165"/>
      <c r="Q74" s="165"/>
      <c r="R74" s="76"/>
      <c r="S74" s="76"/>
      <c r="T74" s="76"/>
      <c r="U74" s="76"/>
      <c r="V74" s="76"/>
      <c r="W74" s="76"/>
      <c r="X74" s="76"/>
      <c r="Y74" s="95">
        <f t="shared" si="20"/>
        <v>0</v>
      </c>
    </row>
    <row r="75" spans="1:25" ht="21" customHeight="1">
      <c r="A75" s="426" t="s">
        <v>174</v>
      </c>
      <c r="B75" s="427"/>
      <c r="C75" s="95">
        <f t="shared" ref="C75:X75" si="21">SUM(C59:C74)</f>
        <v>0</v>
      </c>
      <c r="D75" s="95">
        <f t="shared" si="21"/>
        <v>0</v>
      </c>
      <c r="E75" s="95">
        <f t="shared" si="21"/>
        <v>0</v>
      </c>
      <c r="F75" s="95">
        <f t="shared" si="21"/>
        <v>0</v>
      </c>
      <c r="G75" s="95">
        <f t="shared" si="21"/>
        <v>0</v>
      </c>
      <c r="H75" s="95">
        <f t="shared" si="21"/>
        <v>0</v>
      </c>
      <c r="I75" s="95">
        <f t="shared" si="21"/>
        <v>0</v>
      </c>
      <c r="J75" s="95">
        <f t="shared" si="21"/>
        <v>0</v>
      </c>
      <c r="K75" s="95">
        <f t="shared" si="21"/>
        <v>0</v>
      </c>
      <c r="L75" s="95">
        <f t="shared" si="21"/>
        <v>0</v>
      </c>
      <c r="M75" s="95">
        <f t="shared" si="21"/>
        <v>0</v>
      </c>
      <c r="N75" s="95">
        <f t="shared" si="21"/>
        <v>0</v>
      </c>
      <c r="O75" s="95">
        <f t="shared" si="21"/>
        <v>0</v>
      </c>
      <c r="P75" s="95">
        <f t="shared" si="21"/>
        <v>0</v>
      </c>
      <c r="Q75" s="95">
        <f t="shared" si="21"/>
        <v>0</v>
      </c>
      <c r="R75" s="95">
        <f t="shared" si="21"/>
        <v>0</v>
      </c>
      <c r="S75" s="95">
        <f t="shared" si="21"/>
        <v>0</v>
      </c>
      <c r="T75" s="95">
        <f t="shared" si="21"/>
        <v>0</v>
      </c>
      <c r="U75" s="95">
        <f t="shared" si="21"/>
        <v>0</v>
      </c>
      <c r="V75" s="95">
        <f t="shared" si="21"/>
        <v>0</v>
      </c>
      <c r="W75" s="95">
        <f t="shared" si="21"/>
        <v>0</v>
      </c>
      <c r="X75" s="95">
        <f t="shared" si="21"/>
        <v>0</v>
      </c>
      <c r="Y75" s="95">
        <f>SUM(Y59:Y74)</f>
        <v>0</v>
      </c>
    </row>
    <row r="76" spans="1:25" ht="21" customHeight="1">
      <c r="A76" s="428" t="s">
        <v>175</v>
      </c>
      <c r="B76" s="429"/>
      <c r="C76" s="99">
        <f>+C75</f>
        <v>0</v>
      </c>
      <c r="D76" s="99">
        <f t="shared" ref="D76:Y76" si="22">+D75</f>
        <v>0</v>
      </c>
      <c r="E76" s="99">
        <f t="shared" si="22"/>
        <v>0</v>
      </c>
      <c r="F76" s="99">
        <f t="shared" si="22"/>
        <v>0</v>
      </c>
      <c r="G76" s="99">
        <f t="shared" si="22"/>
        <v>0</v>
      </c>
      <c r="H76" s="99">
        <f t="shared" si="22"/>
        <v>0</v>
      </c>
      <c r="I76" s="99">
        <f t="shared" si="22"/>
        <v>0</v>
      </c>
      <c r="J76" s="99">
        <f t="shared" si="22"/>
        <v>0</v>
      </c>
      <c r="K76" s="99">
        <f t="shared" si="22"/>
        <v>0</v>
      </c>
      <c r="L76" s="99">
        <f t="shared" si="22"/>
        <v>0</v>
      </c>
      <c r="M76" s="99">
        <f t="shared" si="22"/>
        <v>0</v>
      </c>
      <c r="N76" s="99">
        <f t="shared" si="22"/>
        <v>0</v>
      </c>
      <c r="O76" s="99">
        <f t="shared" si="22"/>
        <v>0</v>
      </c>
      <c r="P76" s="99">
        <f t="shared" si="22"/>
        <v>0</v>
      </c>
      <c r="Q76" s="99">
        <f t="shared" si="22"/>
        <v>0</v>
      </c>
      <c r="R76" s="99">
        <f t="shared" si="22"/>
        <v>0</v>
      </c>
      <c r="S76" s="99">
        <f t="shared" si="22"/>
        <v>0</v>
      </c>
      <c r="T76" s="99">
        <f t="shared" si="22"/>
        <v>0</v>
      </c>
      <c r="U76" s="99">
        <f t="shared" si="22"/>
        <v>0</v>
      </c>
      <c r="V76" s="99">
        <f t="shared" si="22"/>
        <v>0</v>
      </c>
      <c r="W76" s="99">
        <f t="shared" si="22"/>
        <v>0</v>
      </c>
      <c r="X76" s="99">
        <f t="shared" si="22"/>
        <v>0</v>
      </c>
      <c r="Y76" s="99">
        <f t="shared" si="22"/>
        <v>0</v>
      </c>
    </row>
    <row r="77" spans="1:25" ht="21" customHeight="1">
      <c r="A77" s="432" t="s">
        <v>391</v>
      </c>
      <c r="B77" s="433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67"/>
      <c r="P77" s="167"/>
      <c r="Q77" s="167"/>
      <c r="R77" s="100"/>
      <c r="S77" s="100"/>
      <c r="T77" s="100"/>
      <c r="U77" s="100"/>
      <c r="V77" s="100"/>
      <c r="W77" s="100"/>
      <c r="X77" s="100"/>
      <c r="Y77" s="101">
        <f t="shared" ref="Y77" si="23">SUM(C77:X77)</f>
        <v>0</v>
      </c>
    </row>
    <row r="78" spans="1:25" ht="21" customHeight="1">
      <c r="A78" s="93">
        <v>340100</v>
      </c>
      <c r="B78" s="68" t="s">
        <v>202</v>
      </c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164"/>
      <c r="P78" s="164"/>
      <c r="Q78" s="164"/>
      <c r="R78" s="70"/>
      <c r="S78" s="70"/>
      <c r="T78" s="70"/>
      <c r="U78" s="70"/>
      <c r="V78" s="70"/>
      <c r="W78" s="70"/>
      <c r="X78" s="70"/>
      <c r="Y78" s="95">
        <f>SUM(C78:X78)</f>
        <v>0</v>
      </c>
    </row>
    <row r="79" spans="1:25" ht="21" customHeight="1">
      <c r="A79" s="93">
        <v>340300</v>
      </c>
      <c r="B79" s="68" t="s">
        <v>203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164"/>
      <c r="P79" s="164"/>
      <c r="Q79" s="164"/>
      <c r="R79" s="70"/>
      <c r="S79" s="70"/>
      <c r="T79" s="70"/>
      <c r="U79" s="70"/>
      <c r="V79" s="70"/>
      <c r="W79" s="70"/>
      <c r="X79" s="70"/>
      <c r="Y79" s="95">
        <f t="shared" ref="Y79:Y81" si="24">SUM(C79:X79)</f>
        <v>0</v>
      </c>
    </row>
    <row r="80" spans="1:25" ht="21" customHeight="1">
      <c r="A80" s="93">
        <v>340400</v>
      </c>
      <c r="B80" s="68" t="s">
        <v>204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164"/>
      <c r="P80" s="164"/>
      <c r="Q80" s="164"/>
      <c r="R80" s="70"/>
      <c r="S80" s="70"/>
      <c r="T80" s="70"/>
      <c r="U80" s="70"/>
      <c r="V80" s="70"/>
      <c r="W80" s="70"/>
      <c r="X80" s="70"/>
      <c r="Y80" s="95">
        <f t="shared" si="24"/>
        <v>0</v>
      </c>
    </row>
    <row r="81" spans="1:25" ht="21" customHeight="1">
      <c r="A81" s="96">
        <v>340500</v>
      </c>
      <c r="B81" s="69" t="s">
        <v>205</v>
      </c>
      <c r="C81" s="70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165"/>
      <c r="P81" s="165"/>
      <c r="Q81" s="165"/>
      <c r="R81" s="76"/>
      <c r="S81" s="76"/>
      <c r="T81" s="76"/>
      <c r="U81" s="76"/>
      <c r="V81" s="76"/>
      <c r="W81" s="76"/>
      <c r="X81" s="76"/>
      <c r="Y81" s="98">
        <f t="shared" si="24"/>
        <v>0</v>
      </c>
    </row>
    <row r="82" spans="1:25" ht="21" customHeight="1">
      <c r="A82" s="426" t="s">
        <v>174</v>
      </c>
      <c r="B82" s="427"/>
      <c r="C82" s="95">
        <f>SUM(C78:C81)</f>
        <v>0</v>
      </c>
      <c r="D82" s="95">
        <f t="shared" ref="D82:Y82" si="25">SUM(D78:D81)</f>
        <v>0</v>
      </c>
      <c r="E82" s="95">
        <f t="shared" si="25"/>
        <v>0</v>
      </c>
      <c r="F82" s="95">
        <f t="shared" si="25"/>
        <v>0</v>
      </c>
      <c r="G82" s="95">
        <f t="shared" si="25"/>
        <v>0</v>
      </c>
      <c r="H82" s="95">
        <f t="shared" si="25"/>
        <v>0</v>
      </c>
      <c r="I82" s="95">
        <f t="shared" si="25"/>
        <v>0</v>
      </c>
      <c r="J82" s="95">
        <f t="shared" si="25"/>
        <v>0</v>
      </c>
      <c r="K82" s="95">
        <f t="shared" si="25"/>
        <v>0</v>
      </c>
      <c r="L82" s="95">
        <f t="shared" si="25"/>
        <v>0</v>
      </c>
      <c r="M82" s="95">
        <f t="shared" si="25"/>
        <v>0</v>
      </c>
      <c r="N82" s="95">
        <f t="shared" si="25"/>
        <v>0</v>
      </c>
      <c r="O82" s="95">
        <f t="shared" si="25"/>
        <v>0</v>
      </c>
      <c r="P82" s="95">
        <f t="shared" si="25"/>
        <v>0</v>
      </c>
      <c r="Q82" s="95">
        <f t="shared" si="25"/>
        <v>0</v>
      </c>
      <c r="R82" s="95">
        <f t="shared" si="25"/>
        <v>0</v>
      </c>
      <c r="S82" s="95">
        <f t="shared" si="25"/>
        <v>0</v>
      </c>
      <c r="T82" s="95">
        <f t="shared" si="25"/>
        <v>0</v>
      </c>
      <c r="U82" s="95">
        <f t="shared" si="25"/>
        <v>0</v>
      </c>
      <c r="V82" s="95">
        <f t="shared" si="25"/>
        <v>0</v>
      </c>
      <c r="W82" s="95">
        <f t="shared" si="25"/>
        <v>0</v>
      </c>
      <c r="X82" s="95">
        <f t="shared" si="25"/>
        <v>0</v>
      </c>
      <c r="Y82" s="95">
        <f t="shared" si="25"/>
        <v>0</v>
      </c>
    </row>
    <row r="83" spans="1:25" ht="21" customHeight="1">
      <c r="A83" s="428" t="s">
        <v>175</v>
      </c>
      <c r="B83" s="429"/>
      <c r="C83" s="99">
        <f>+C82</f>
        <v>0</v>
      </c>
      <c r="D83" s="99">
        <f t="shared" ref="D83:Y83" si="26">+D82</f>
        <v>0</v>
      </c>
      <c r="E83" s="99">
        <f t="shared" si="26"/>
        <v>0</v>
      </c>
      <c r="F83" s="99">
        <f t="shared" si="26"/>
        <v>0</v>
      </c>
      <c r="G83" s="99">
        <f t="shared" si="26"/>
        <v>0</v>
      </c>
      <c r="H83" s="99">
        <f t="shared" si="26"/>
        <v>0</v>
      </c>
      <c r="I83" s="99">
        <f t="shared" si="26"/>
        <v>0</v>
      </c>
      <c r="J83" s="99">
        <f t="shared" si="26"/>
        <v>0</v>
      </c>
      <c r="K83" s="99">
        <f t="shared" si="26"/>
        <v>0</v>
      </c>
      <c r="L83" s="99">
        <f t="shared" si="26"/>
        <v>0</v>
      </c>
      <c r="M83" s="99">
        <f t="shared" si="26"/>
        <v>0</v>
      </c>
      <c r="N83" s="99">
        <f t="shared" si="26"/>
        <v>0</v>
      </c>
      <c r="O83" s="99">
        <f t="shared" si="26"/>
        <v>0</v>
      </c>
      <c r="P83" s="99">
        <f t="shared" si="26"/>
        <v>0</v>
      </c>
      <c r="Q83" s="99">
        <f t="shared" si="26"/>
        <v>0</v>
      </c>
      <c r="R83" s="99">
        <f t="shared" si="26"/>
        <v>0</v>
      </c>
      <c r="S83" s="99">
        <f t="shared" si="26"/>
        <v>0</v>
      </c>
      <c r="T83" s="99">
        <f t="shared" si="26"/>
        <v>0</v>
      </c>
      <c r="U83" s="99">
        <f t="shared" si="26"/>
        <v>0</v>
      </c>
      <c r="V83" s="99">
        <f t="shared" si="26"/>
        <v>0</v>
      </c>
      <c r="W83" s="99">
        <f t="shared" si="26"/>
        <v>0</v>
      </c>
      <c r="X83" s="99">
        <f t="shared" si="26"/>
        <v>0</v>
      </c>
      <c r="Y83" s="99">
        <f t="shared" si="26"/>
        <v>0</v>
      </c>
    </row>
    <row r="84" spans="1:25" s="91" customFormat="1" ht="21" customHeight="1">
      <c r="A84" s="432" t="s">
        <v>392</v>
      </c>
      <c r="B84" s="433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67"/>
      <c r="P84" s="167"/>
      <c r="Q84" s="167"/>
      <c r="R84" s="100"/>
      <c r="S84" s="100"/>
      <c r="T84" s="100"/>
      <c r="U84" s="100"/>
      <c r="V84" s="100"/>
      <c r="W84" s="100"/>
      <c r="X84" s="100"/>
      <c r="Y84" s="101">
        <f t="shared" ref="Y84:Y96" si="27">SUM(C84:X84)</f>
        <v>0</v>
      </c>
    </row>
    <row r="85" spans="1:25" s="91" customFormat="1" ht="21" customHeight="1">
      <c r="A85" s="93">
        <v>410400</v>
      </c>
      <c r="B85" s="68" t="s">
        <v>206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164"/>
      <c r="P85" s="164"/>
      <c r="Q85" s="164"/>
      <c r="R85" s="70"/>
      <c r="S85" s="70"/>
      <c r="T85" s="70"/>
      <c r="U85" s="70"/>
      <c r="V85" s="70"/>
      <c r="W85" s="70"/>
      <c r="X85" s="70"/>
      <c r="Y85" s="95">
        <f t="shared" si="27"/>
        <v>0</v>
      </c>
    </row>
    <row r="86" spans="1:25" s="91" customFormat="1" ht="21" customHeight="1">
      <c r="A86" s="93">
        <v>410200</v>
      </c>
      <c r="B86" s="68" t="s">
        <v>224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164"/>
      <c r="P86" s="164"/>
      <c r="Q86" s="164"/>
      <c r="R86" s="70"/>
      <c r="S86" s="70"/>
      <c r="T86" s="70"/>
      <c r="U86" s="70"/>
      <c r="V86" s="70"/>
      <c r="W86" s="70"/>
      <c r="X86" s="70"/>
      <c r="Y86" s="95">
        <f t="shared" si="27"/>
        <v>0</v>
      </c>
    </row>
    <row r="87" spans="1:25" s="91" customFormat="1" ht="21" customHeight="1">
      <c r="A87" s="93">
        <v>410300</v>
      </c>
      <c r="B87" s="68" t="s">
        <v>207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164"/>
      <c r="P87" s="164"/>
      <c r="Q87" s="164"/>
      <c r="R87" s="70"/>
      <c r="S87" s="70"/>
      <c r="T87" s="70"/>
      <c r="U87" s="70"/>
      <c r="V87" s="70"/>
      <c r="W87" s="70"/>
      <c r="X87" s="70"/>
      <c r="Y87" s="95">
        <f t="shared" si="27"/>
        <v>0</v>
      </c>
    </row>
    <row r="88" spans="1:25" s="91" customFormat="1" ht="21" customHeight="1">
      <c r="A88" s="93">
        <v>410400</v>
      </c>
      <c r="B88" s="68" t="s">
        <v>225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165"/>
      <c r="P88" s="165"/>
      <c r="Q88" s="165"/>
      <c r="R88" s="76"/>
      <c r="S88" s="76"/>
      <c r="T88" s="76"/>
      <c r="U88" s="76"/>
      <c r="V88" s="76"/>
      <c r="W88" s="76"/>
      <c r="X88" s="76"/>
      <c r="Y88" s="95">
        <f t="shared" si="27"/>
        <v>0</v>
      </c>
    </row>
    <row r="89" spans="1:25" s="91" customFormat="1" ht="21" customHeight="1">
      <c r="A89" s="93">
        <v>410500</v>
      </c>
      <c r="B89" s="68" t="s">
        <v>226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165"/>
      <c r="P89" s="165"/>
      <c r="Q89" s="165"/>
      <c r="R89" s="76"/>
      <c r="S89" s="76"/>
      <c r="T89" s="76"/>
      <c r="U89" s="76"/>
      <c r="V89" s="76"/>
      <c r="W89" s="76"/>
      <c r="X89" s="76"/>
      <c r="Y89" s="95">
        <f t="shared" si="27"/>
        <v>0</v>
      </c>
    </row>
    <row r="90" spans="1:25" s="91" customFormat="1" ht="21" customHeight="1">
      <c r="A90" s="93">
        <v>410600</v>
      </c>
      <c r="B90" s="68" t="s">
        <v>227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165"/>
      <c r="P90" s="165"/>
      <c r="Q90" s="165"/>
      <c r="R90" s="76"/>
      <c r="S90" s="76"/>
      <c r="T90" s="76"/>
      <c r="U90" s="76"/>
      <c r="V90" s="76"/>
      <c r="W90" s="76"/>
      <c r="X90" s="76"/>
      <c r="Y90" s="95">
        <f t="shared" si="27"/>
        <v>0</v>
      </c>
    </row>
    <row r="91" spans="1:25" s="91" customFormat="1" ht="21" customHeight="1">
      <c r="A91" s="93">
        <v>410700</v>
      </c>
      <c r="B91" s="68" t="s">
        <v>208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164"/>
      <c r="P91" s="164"/>
      <c r="Q91" s="164"/>
      <c r="R91" s="70"/>
      <c r="S91" s="70"/>
      <c r="T91" s="70"/>
      <c r="U91" s="70"/>
      <c r="V91" s="70"/>
      <c r="W91" s="70"/>
      <c r="X91" s="70"/>
      <c r="Y91" s="95">
        <f t="shared" si="27"/>
        <v>0</v>
      </c>
    </row>
    <row r="92" spans="1:25" s="91" customFormat="1" ht="21" hidden="1" customHeight="1">
      <c r="A92" s="93">
        <v>410800</v>
      </c>
      <c r="B92" s="68" t="s">
        <v>228</v>
      </c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165"/>
      <c r="P92" s="165"/>
      <c r="Q92" s="165"/>
      <c r="R92" s="76"/>
      <c r="S92" s="76"/>
      <c r="T92" s="76"/>
      <c r="U92" s="76"/>
      <c r="V92" s="76"/>
      <c r="W92" s="76"/>
      <c r="X92" s="76"/>
      <c r="Y92" s="95">
        <f t="shared" si="27"/>
        <v>0</v>
      </c>
    </row>
    <row r="93" spans="1:25" s="91" customFormat="1" ht="21" hidden="1" customHeight="1">
      <c r="A93" s="93">
        <v>410900</v>
      </c>
      <c r="B93" s="68" t="s">
        <v>243</v>
      </c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165"/>
      <c r="P93" s="165"/>
      <c r="Q93" s="165"/>
      <c r="R93" s="76"/>
      <c r="S93" s="76"/>
      <c r="T93" s="76"/>
      <c r="U93" s="76"/>
      <c r="V93" s="76"/>
      <c r="W93" s="76"/>
      <c r="X93" s="76"/>
      <c r="Y93" s="95">
        <f t="shared" si="27"/>
        <v>0</v>
      </c>
    </row>
    <row r="94" spans="1:25" s="91" customFormat="1" ht="21" customHeight="1">
      <c r="A94" s="93">
        <v>411000</v>
      </c>
      <c r="B94" s="68" t="s">
        <v>295</v>
      </c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165"/>
      <c r="P94" s="165"/>
      <c r="Q94" s="165"/>
      <c r="R94" s="76"/>
      <c r="S94" s="76"/>
      <c r="T94" s="76"/>
      <c r="U94" s="76"/>
      <c r="V94" s="76"/>
      <c r="W94" s="76"/>
      <c r="X94" s="76"/>
      <c r="Y94" s="95">
        <f t="shared" si="27"/>
        <v>0</v>
      </c>
    </row>
    <row r="95" spans="1:25" s="91" customFormat="1" ht="21" customHeight="1">
      <c r="A95" s="93">
        <v>411100</v>
      </c>
      <c r="B95" s="68" t="s">
        <v>260</v>
      </c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165"/>
      <c r="P95" s="165"/>
      <c r="Q95" s="165"/>
      <c r="R95" s="76"/>
      <c r="S95" s="76"/>
      <c r="T95" s="76"/>
      <c r="U95" s="76"/>
      <c r="V95" s="76"/>
      <c r="W95" s="76"/>
      <c r="X95" s="76"/>
      <c r="Y95" s="95">
        <f t="shared" si="27"/>
        <v>0</v>
      </c>
    </row>
    <row r="96" spans="1:25" s="91" customFormat="1" ht="21" customHeight="1">
      <c r="A96" s="93">
        <v>411300</v>
      </c>
      <c r="B96" s="68" t="s">
        <v>296</v>
      </c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165"/>
      <c r="P96" s="165"/>
      <c r="Q96" s="165"/>
      <c r="R96" s="76"/>
      <c r="S96" s="76"/>
      <c r="T96" s="76"/>
      <c r="U96" s="76"/>
      <c r="V96" s="76"/>
      <c r="W96" s="76"/>
      <c r="X96" s="76"/>
      <c r="Y96" s="95">
        <f t="shared" si="27"/>
        <v>0</v>
      </c>
    </row>
    <row r="97" spans="1:25" s="91" customFormat="1" ht="21" customHeight="1">
      <c r="A97" s="93">
        <v>411600</v>
      </c>
      <c r="B97" s="68" t="s">
        <v>229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164"/>
      <c r="P97" s="164"/>
      <c r="Q97" s="164"/>
      <c r="R97" s="70"/>
      <c r="S97" s="70"/>
      <c r="T97" s="70"/>
      <c r="U97" s="70"/>
      <c r="V97" s="70"/>
      <c r="W97" s="70"/>
      <c r="X97" s="70"/>
      <c r="Y97" s="95">
        <f>SUM(C97:X97)</f>
        <v>0</v>
      </c>
    </row>
    <row r="98" spans="1:25" s="91" customFormat="1" ht="21" customHeight="1">
      <c r="A98" s="93">
        <v>411800</v>
      </c>
      <c r="B98" s="68" t="s">
        <v>209</v>
      </c>
      <c r="C98" s="70"/>
      <c r="D98" s="70"/>
      <c r="E98" s="70"/>
      <c r="F98" s="70"/>
      <c r="G98" s="70">
        <v>0</v>
      </c>
      <c r="H98" s="70"/>
      <c r="I98" s="70"/>
      <c r="J98" s="70"/>
      <c r="K98" s="70"/>
      <c r="L98" s="70"/>
      <c r="M98" s="70"/>
      <c r="N98" s="70"/>
      <c r="O98" s="164"/>
      <c r="P98" s="164"/>
      <c r="Q98" s="164"/>
      <c r="R98" s="70"/>
      <c r="S98" s="70"/>
      <c r="T98" s="70"/>
      <c r="U98" s="70"/>
      <c r="V98" s="70"/>
      <c r="W98" s="70">
        <v>0</v>
      </c>
      <c r="X98" s="70"/>
      <c r="Y98" s="95">
        <f>SUM(C98:X98)</f>
        <v>0</v>
      </c>
    </row>
    <row r="99" spans="1:25" s="91" customFormat="1" ht="21" customHeight="1">
      <c r="A99" s="426" t="s">
        <v>174</v>
      </c>
      <c r="B99" s="427"/>
      <c r="C99" s="95">
        <f>SUM(C85:C98)</f>
        <v>0</v>
      </c>
      <c r="D99" s="95">
        <f t="shared" ref="D99:P99" si="28">SUM(D85:D98)</f>
        <v>0</v>
      </c>
      <c r="E99" s="95">
        <f t="shared" si="28"/>
        <v>0</v>
      </c>
      <c r="F99" s="95">
        <f t="shared" si="28"/>
        <v>0</v>
      </c>
      <c r="G99" s="95">
        <f t="shared" si="28"/>
        <v>0</v>
      </c>
      <c r="H99" s="95">
        <f t="shared" si="28"/>
        <v>0</v>
      </c>
      <c r="I99" s="95">
        <f t="shared" si="28"/>
        <v>0</v>
      </c>
      <c r="J99" s="95">
        <f t="shared" si="28"/>
        <v>0</v>
      </c>
      <c r="K99" s="95">
        <f t="shared" si="28"/>
        <v>0</v>
      </c>
      <c r="L99" s="95">
        <f t="shared" si="28"/>
        <v>0</v>
      </c>
      <c r="M99" s="95">
        <f t="shared" si="28"/>
        <v>0</v>
      </c>
      <c r="N99" s="95">
        <f t="shared" si="28"/>
        <v>0</v>
      </c>
      <c r="O99" s="95">
        <f t="shared" si="28"/>
        <v>0</v>
      </c>
      <c r="P99" s="95">
        <f t="shared" si="28"/>
        <v>0</v>
      </c>
      <c r="Q99" s="166">
        <f>SUM(Q85:Q98)</f>
        <v>0</v>
      </c>
      <c r="R99" s="95">
        <f>SUM(R85:R98)</f>
        <v>0</v>
      </c>
      <c r="S99" s="95">
        <f>SUM(S85:S98)</f>
        <v>0</v>
      </c>
      <c r="T99" s="95"/>
      <c r="U99" s="95">
        <f>SUM(U85:U98)</f>
        <v>0</v>
      </c>
      <c r="V99" s="95">
        <f>SUM(V85:V98)</f>
        <v>0</v>
      </c>
      <c r="W99" s="95">
        <f>SUM(W85:W98)</f>
        <v>0</v>
      </c>
      <c r="X99" s="95">
        <f>SUM(X85:X98)</f>
        <v>0</v>
      </c>
      <c r="Y99" s="95">
        <f>SUM(C99:X99)</f>
        <v>0</v>
      </c>
    </row>
    <row r="100" spans="1:25" s="91" customFormat="1" ht="21" customHeight="1">
      <c r="A100" s="428" t="s">
        <v>175</v>
      </c>
      <c r="B100" s="429"/>
      <c r="C100" s="99">
        <f>+C99</f>
        <v>0</v>
      </c>
      <c r="D100" s="99">
        <f t="shared" ref="D100:Y100" si="29">+D99</f>
        <v>0</v>
      </c>
      <c r="E100" s="99">
        <f t="shared" si="29"/>
        <v>0</v>
      </c>
      <c r="F100" s="99">
        <f t="shared" si="29"/>
        <v>0</v>
      </c>
      <c r="G100" s="99">
        <f t="shared" si="29"/>
        <v>0</v>
      </c>
      <c r="H100" s="99">
        <f t="shared" si="29"/>
        <v>0</v>
      </c>
      <c r="I100" s="99">
        <f t="shared" si="29"/>
        <v>0</v>
      </c>
      <c r="J100" s="99">
        <f t="shared" si="29"/>
        <v>0</v>
      </c>
      <c r="K100" s="99">
        <f t="shared" si="29"/>
        <v>0</v>
      </c>
      <c r="L100" s="99">
        <f t="shared" si="29"/>
        <v>0</v>
      </c>
      <c r="M100" s="99">
        <f t="shared" si="29"/>
        <v>0</v>
      </c>
      <c r="N100" s="99">
        <f t="shared" si="29"/>
        <v>0</v>
      </c>
      <c r="O100" s="99">
        <f t="shared" si="29"/>
        <v>0</v>
      </c>
      <c r="P100" s="99">
        <f t="shared" si="29"/>
        <v>0</v>
      </c>
      <c r="Q100" s="99">
        <f t="shared" si="29"/>
        <v>0</v>
      </c>
      <c r="R100" s="99">
        <f t="shared" si="29"/>
        <v>0</v>
      </c>
      <c r="S100" s="99">
        <f t="shared" si="29"/>
        <v>0</v>
      </c>
      <c r="T100" s="99">
        <f t="shared" si="29"/>
        <v>0</v>
      </c>
      <c r="U100" s="99">
        <f t="shared" si="29"/>
        <v>0</v>
      </c>
      <c r="V100" s="99">
        <f t="shared" si="29"/>
        <v>0</v>
      </c>
      <c r="W100" s="99">
        <f t="shared" si="29"/>
        <v>0</v>
      </c>
      <c r="X100" s="99">
        <f t="shared" si="29"/>
        <v>0</v>
      </c>
      <c r="Y100" s="99">
        <f t="shared" si="29"/>
        <v>0</v>
      </c>
    </row>
    <row r="101" spans="1:25" s="91" customFormat="1" ht="21" customHeight="1">
      <c r="A101" s="435" t="s">
        <v>139</v>
      </c>
      <c r="B101" s="435"/>
      <c r="C101" s="434" t="s">
        <v>141</v>
      </c>
      <c r="D101" s="434"/>
      <c r="E101" s="437" t="s">
        <v>144</v>
      </c>
      <c r="F101" s="438"/>
      <c r="G101" s="434" t="s">
        <v>146</v>
      </c>
      <c r="H101" s="435"/>
      <c r="I101" s="437" t="s">
        <v>160</v>
      </c>
      <c r="J101" s="438"/>
      <c r="K101" s="290" t="s">
        <v>161</v>
      </c>
      <c r="L101" s="437" t="s">
        <v>162</v>
      </c>
      <c r="M101" s="439"/>
      <c r="N101" s="439"/>
      <c r="O101" s="438"/>
      <c r="P101" s="437" t="s">
        <v>163</v>
      </c>
      <c r="Q101" s="438"/>
      <c r="R101" s="437" t="s">
        <v>164</v>
      </c>
      <c r="S101" s="439"/>
      <c r="T101" s="438"/>
      <c r="U101" s="434" t="s">
        <v>165</v>
      </c>
      <c r="V101" s="435"/>
      <c r="W101" s="290" t="s">
        <v>212</v>
      </c>
      <c r="X101" s="290" t="s">
        <v>166</v>
      </c>
      <c r="Y101" s="436" t="s">
        <v>17</v>
      </c>
    </row>
    <row r="102" spans="1:25" s="91" customFormat="1" ht="21" customHeight="1">
      <c r="A102" s="435" t="s">
        <v>140</v>
      </c>
      <c r="B102" s="435"/>
      <c r="C102" s="290" t="s">
        <v>142</v>
      </c>
      <c r="D102" s="290" t="s">
        <v>143</v>
      </c>
      <c r="E102" s="290" t="s">
        <v>145</v>
      </c>
      <c r="F102" s="290" t="s">
        <v>214</v>
      </c>
      <c r="G102" s="290" t="s">
        <v>147</v>
      </c>
      <c r="H102" s="290" t="s">
        <v>148</v>
      </c>
      <c r="I102" s="290" t="s">
        <v>149</v>
      </c>
      <c r="J102" s="290" t="s">
        <v>150</v>
      </c>
      <c r="K102" s="290" t="s">
        <v>151</v>
      </c>
      <c r="L102" s="290" t="s">
        <v>152</v>
      </c>
      <c r="M102" s="290" t="s">
        <v>153</v>
      </c>
      <c r="N102" s="290" t="s">
        <v>238</v>
      </c>
      <c r="O102" s="269" t="s">
        <v>331</v>
      </c>
      <c r="P102" s="291" t="s">
        <v>303</v>
      </c>
      <c r="Q102" s="291" t="s">
        <v>154</v>
      </c>
      <c r="R102" s="290" t="s">
        <v>155</v>
      </c>
      <c r="S102" s="290" t="s">
        <v>156</v>
      </c>
      <c r="T102" s="290" t="s">
        <v>216</v>
      </c>
      <c r="U102" s="290" t="s">
        <v>157</v>
      </c>
      <c r="V102" s="290" t="s">
        <v>158</v>
      </c>
      <c r="W102" s="290" t="s">
        <v>213</v>
      </c>
      <c r="X102" s="290" t="s">
        <v>159</v>
      </c>
      <c r="Y102" s="436"/>
    </row>
    <row r="103" spans="1:25" s="91" customFormat="1" ht="21" customHeight="1">
      <c r="A103" s="432" t="s">
        <v>393</v>
      </c>
      <c r="B103" s="433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67"/>
      <c r="P103" s="167"/>
      <c r="Q103" s="167"/>
      <c r="R103" s="100"/>
      <c r="S103" s="100"/>
      <c r="T103" s="100"/>
      <c r="U103" s="100"/>
      <c r="V103" s="100"/>
      <c r="W103" s="100"/>
      <c r="X103" s="100"/>
      <c r="Y103" s="101">
        <f>SUM(C103:X103)</f>
        <v>0</v>
      </c>
    </row>
    <row r="104" spans="1:25" s="91" customFormat="1" ht="21" customHeight="1">
      <c r="A104" s="93">
        <v>420700</v>
      </c>
      <c r="B104" s="94" t="s">
        <v>394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164"/>
      <c r="P104" s="164"/>
      <c r="Q104" s="164"/>
      <c r="R104" s="70"/>
      <c r="S104" s="70"/>
      <c r="T104" s="70"/>
      <c r="U104" s="70"/>
      <c r="V104" s="70"/>
      <c r="W104" s="70"/>
      <c r="X104" s="70"/>
      <c r="Y104" s="95">
        <f>SUM(C104:X104)</f>
        <v>0</v>
      </c>
    </row>
    <row r="105" spans="1:25" s="91" customFormat="1" ht="21" customHeight="1">
      <c r="A105" s="96">
        <v>421000</v>
      </c>
      <c r="B105" s="97" t="s">
        <v>395</v>
      </c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165"/>
      <c r="P105" s="165"/>
      <c r="Q105" s="165"/>
      <c r="R105" s="76"/>
      <c r="S105" s="76"/>
      <c r="T105" s="76"/>
      <c r="U105" s="76"/>
      <c r="V105" s="76"/>
      <c r="W105" s="76"/>
      <c r="X105" s="76"/>
      <c r="Y105" s="95">
        <f t="shared" ref="Y105:Y106" si="30">SUM(C105:X105)</f>
        <v>0</v>
      </c>
    </row>
    <row r="106" spans="1:25" s="91" customFormat="1" ht="21" customHeight="1">
      <c r="A106" s="96">
        <v>421100</v>
      </c>
      <c r="B106" s="97" t="s">
        <v>211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165"/>
      <c r="P106" s="165"/>
      <c r="Q106" s="165"/>
      <c r="R106" s="76"/>
      <c r="S106" s="76"/>
      <c r="T106" s="76"/>
      <c r="U106" s="76"/>
      <c r="V106" s="76"/>
      <c r="W106" s="76"/>
      <c r="X106" s="76"/>
      <c r="Y106" s="95">
        <f t="shared" si="30"/>
        <v>0</v>
      </c>
    </row>
    <row r="107" spans="1:25" s="91" customFormat="1" ht="21" customHeight="1">
      <c r="A107" s="426" t="s">
        <v>174</v>
      </c>
      <c r="B107" s="427"/>
      <c r="C107" s="95">
        <f>SUM(C104:C106)</f>
        <v>0</v>
      </c>
      <c r="D107" s="95">
        <f t="shared" ref="D107:W107" si="31">SUM(D104:D106)</f>
        <v>0</v>
      </c>
      <c r="E107" s="95">
        <f t="shared" si="31"/>
        <v>0</v>
      </c>
      <c r="F107" s="95">
        <f t="shared" si="31"/>
        <v>0</v>
      </c>
      <c r="G107" s="95">
        <f t="shared" si="31"/>
        <v>0</v>
      </c>
      <c r="H107" s="95">
        <f t="shared" si="31"/>
        <v>0</v>
      </c>
      <c r="I107" s="95">
        <f t="shared" si="31"/>
        <v>0</v>
      </c>
      <c r="J107" s="95">
        <f t="shared" si="31"/>
        <v>0</v>
      </c>
      <c r="K107" s="95">
        <f t="shared" si="31"/>
        <v>0</v>
      </c>
      <c r="L107" s="95">
        <f t="shared" si="31"/>
        <v>0</v>
      </c>
      <c r="M107" s="95">
        <f t="shared" si="31"/>
        <v>0</v>
      </c>
      <c r="N107" s="95">
        <f t="shared" si="31"/>
        <v>0</v>
      </c>
      <c r="O107" s="95">
        <f t="shared" si="31"/>
        <v>0</v>
      </c>
      <c r="P107" s="95">
        <f t="shared" si="31"/>
        <v>0</v>
      </c>
      <c r="Q107" s="95">
        <f t="shared" si="31"/>
        <v>0</v>
      </c>
      <c r="R107" s="95">
        <f t="shared" si="31"/>
        <v>0</v>
      </c>
      <c r="S107" s="95">
        <f t="shared" si="31"/>
        <v>0</v>
      </c>
      <c r="T107" s="95">
        <f t="shared" si="31"/>
        <v>0</v>
      </c>
      <c r="U107" s="95">
        <f t="shared" si="31"/>
        <v>0</v>
      </c>
      <c r="V107" s="95">
        <f t="shared" si="31"/>
        <v>0</v>
      </c>
      <c r="W107" s="95">
        <f t="shared" si="31"/>
        <v>0</v>
      </c>
      <c r="X107" s="95">
        <f>SUM(X104:X106)</f>
        <v>0</v>
      </c>
      <c r="Y107" s="95">
        <f>SUM(C107:X107)</f>
        <v>0</v>
      </c>
    </row>
    <row r="108" spans="1:25" s="91" customFormat="1" ht="21" customHeight="1">
      <c r="A108" s="428" t="s">
        <v>175</v>
      </c>
      <c r="B108" s="429"/>
      <c r="C108" s="99">
        <f>+C107</f>
        <v>0</v>
      </c>
      <c r="D108" s="99">
        <f t="shared" ref="D108:Y108" si="32">+D107</f>
        <v>0</v>
      </c>
      <c r="E108" s="99">
        <f t="shared" si="32"/>
        <v>0</v>
      </c>
      <c r="F108" s="99">
        <f t="shared" si="32"/>
        <v>0</v>
      </c>
      <c r="G108" s="99">
        <f t="shared" si="32"/>
        <v>0</v>
      </c>
      <c r="H108" s="99">
        <f t="shared" si="32"/>
        <v>0</v>
      </c>
      <c r="I108" s="99">
        <f t="shared" si="32"/>
        <v>0</v>
      </c>
      <c r="J108" s="99">
        <f t="shared" si="32"/>
        <v>0</v>
      </c>
      <c r="K108" s="99">
        <f t="shared" si="32"/>
        <v>0</v>
      </c>
      <c r="L108" s="99">
        <f t="shared" si="32"/>
        <v>0</v>
      </c>
      <c r="M108" s="99">
        <f t="shared" si="32"/>
        <v>0</v>
      </c>
      <c r="N108" s="99">
        <f t="shared" si="32"/>
        <v>0</v>
      </c>
      <c r="O108" s="99">
        <f t="shared" si="32"/>
        <v>0</v>
      </c>
      <c r="P108" s="99">
        <f t="shared" si="32"/>
        <v>0</v>
      </c>
      <c r="Q108" s="99">
        <f t="shared" si="32"/>
        <v>0</v>
      </c>
      <c r="R108" s="99">
        <f t="shared" si="32"/>
        <v>0</v>
      </c>
      <c r="S108" s="99">
        <f t="shared" si="32"/>
        <v>0</v>
      </c>
      <c r="T108" s="99">
        <f t="shared" si="32"/>
        <v>0</v>
      </c>
      <c r="U108" s="99">
        <f t="shared" si="32"/>
        <v>0</v>
      </c>
      <c r="V108" s="99">
        <f t="shared" si="32"/>
        <v>0</v>
      </c>
      <c r="W108" s="99">
        <f t="shared" si="32"/>
        <v>0</v>
      </c>
      <c r="X108" s="99">
        <f t="shared" si="32"/>
        <v>0</v>
      </c>
      <c r="Y108" s="99">
        <f t="shared" si="32"/>
        <v>0</v>
      </c>
    </row>
    <row r="109" spans="1:25" s="91" customFormat="1" ht="21" customHeight="1">
      <c r="A109" s="432" t="s">
        <v>397</v>
      </c>
      <c r="B109" s="433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67"/>
      <c r="P109" s="167"/>
      <c r="Q109" s="167"/>
      <c r="R109" s="100"/>
      <c r="S109" s="100"/>
      <c r="T109" s="100"/>
      <c r="U109" s="100"/>
      <c r="V109" s="100"/>
      <c r="W109" s="100"/>
      <c r="X109" s="100"/>
      <c r="Y109" s="101">
        <f t="shared" ref="Y109:Y111" si="33">SUM(C109:X109)</f>
        <v>0</v>
      </c>
    </row>
    <row r="110" spans="1:25" s="91" customFormat="1" ht="21" customHeight="1">
      <c r="A110" s="93">
        <v>510100</v>
      </c>
      <c r="B110" s="102" t="s">
        <v>12</v>
      </c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164"/>
      <c r="P110" s="164"/>
      <c r="Q110" s="164"/>
      <c r="R110" s="70"/>
      <c r="S110" s="70"/>
      <c r="T110" s="70"/>
      <c r="U110" s="70"/>
      <c r="V110" s="70"/>
      <c r="W110" s="70"/>
      <c r="X110" s="70"/>
      <c r="Y110" s="95">
        <f t="shared" si="33"/>
        <v>0</v>
      </c>
    </row>
    <row r="111" spans="1:25" s="91" customFormat="1" ht="21" customHeight="1">
      <c r="A111" s="426" t="s">
        <v>174</v>
      </c>
      <c r="B111" s="427"/>
      <c r="C111" s="95">
        <f t="shared" ref="C111:X111" si="34">SUM(C110:C110)</f>
        <v>0</v>
      </c>
      <c r="D111" s="95">
        <f t="shared" si="34"/>
        <v>0</v>
      </c>
      <c r="E111" s="95">
        <f t="shared" si="34"/>
        <v>0</v>
      </c>
      <c r="F111" s="95">
        <f t="shared" si="34"/>
        <v>0</v>
      </c>
      <c r="G111" s="95">
        <f t="shared" si="34"/>
        <v>0</v>
      </c>
      <c r="H111" s="95">
        <f t="shared" si="34"/>
        <v>0</v>
      </c>
      <c r="I111" s="95">
        <f t="shared" si="34"/>
        <v>0</v>
      </c>
      <c r="J111" s="95">
        <f t="shared" si="34"/>
        <v>0</v>
      </c>
      <c r="K111" s="95">
        <f t="shared" si="34"/>
        <v>0</v>
      </c>
      <c r="L111" s="95">
        <f t="shared" si="34"/>
        <v>0</v>
      </c>
      <c r="M111" s="95">
        <f t="shared" si="34"/>
        <v>0</v>
      </c>
      <c r="N111" s="95">
        <f t="shared" si="34"/>
        <v>0</v>
      </c>
      <c r="O111" s="95">
        <f t="shared" si="34"/>
        <v>0</v>
      </c>
      <c r="P111" s="95">
        <f t="shared" si="34"/>
        <v>0</v>
      </c>
      <c r="Q111" s="95">
        <f t="shared" si="34"/>
        <v>0</v>
      </c>
      <c r="R111" s="95">
        <f t="shared" si="34"/>
        <v>0</v>
      </c>
      <c r="S111" s="95">
        <f t="shared" si="34"/>
        <v>0</v>
      </c>
      <c r="T111" s="95">
        <f t="shared" si="34"/>
        <v>0</v>
      </c>
      <c r="U111" s="95">
        <f t="shared" si="34"/>
        <v>0</v>
      </c>
      <c r="V111" s="95">
        <f t="shared" si="34"/>
        <v>0</v>
      </c>
      <c r="W111" s="95">
        <f t="shared" si="34"/>
        <v>0</v>
      </c>
      <c r="X111" s="95">
        <f t="shared" si="34"/>
        <v>0</v>
      </c>
      <c r="Y111" s="95">
        <f t="shared" si="33"/>
        <v>0</v>
      </c>
    </row>
    <row r="112" spans="1:25" s="91" customFormat="1" ht="21" customHeight="1">
      <c r="A112" s="428" t="s">
        <v>175</v>
      </c>
      <c r="B112" s="429"/>
      <c r="C112" s="99">
        <f>+C111</f>
        <v>0</v>
      </c>
      <c r="D112" s="99">
        <f t="shared" ref="D112:Y112" si="35">+D111</f>
        <v>0</v>
      </c>
      <c r="E112" s="99">
        <f t="shared" si="35"/>
        <v>0</v>
      </c>
      <c r="F112" s="99">
        <f t="shared" si="35"/>
        <v>0</v>
      </c>
      <c r="G112" s="99">
        <f t="shared" si="35"/>
        <v>0</v>
      </c>
      <c r="H112" s="99">
        <f t="shared" si="35"/>
        <v>0</v>
      </c>
      <c r="I112" s="99">
        <f t="shared" si="35"/>
        <v>0</v>
      </c>
      <c r="J112" s="99">
        <f t="shared" si="35"/>
        <v>0</v>
      </c>
      <c r="K112" s="99">
        <f t="shared" si="35"/>
        <v>0</v>
      </c>
      <c r="L112" s="99">
        <f t="shared" si="35"/>
        <v>0</v>
      </c>
      <c r="M112" s="99">
        <f t="shared" si="35"/>
        <v>0</v>
      </c>
      <c r="N112" s="99">
        <f t="shared" si="35"/>
        <v>0</v>
      </c>
      <c r="O112" s="99">
        <f t="shared" si="35"/>
        <v>0</v>
      </c>
      <c r="P112" s="99">
        <f t="shared" si="35"/>
        <v>0</v>
      </c>
      <c r="Q112" s="99">
        <f t="shared" si="35"/>
        <v>0</v>
      </c>
      <c r="R112" s="99">
        <f t="shared" si="35"/>
        <v>0</v>
      </c>
      <c r="S112" s="99">
        <f t="shared" si="35"/>
        <v>0</v>
      </c>
      <c r="T112" s="99">
        <f t="shared" si="35"/>
        <v>0</v>
      </c>
      <c r="U112" s="99">
        <f t="shared" si="35"/>
        <v>0</v>
      </c>
      <c r="V112" s="99">
        <f t="shared" si="35"/>
        <v>0</v>
      </c>
      <c r="W112" s="99">
        <f t="shared" si="35"/>
        <v>0</v>
      </c>
      <c r="X112" s="99">
        <f t="shared" si="35"/>
        <v>0</v>
      </c>
      <c r="Y112" s="99">
        <f t="shared" si="35"/>
        <v>0</v>
      </c>
    </row>
    <row r="113" spans="1:26" s="91" customFormat="1" ht="21" customHeight="1">
      <c r="A113" s="432" t="s">
        <v>396</v>
      </c>
      <c r="B113" s="433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67"/>
      <c r="P113" s="167"/>
      <c r="Q113" s="167"/>
      <c r="R113" s="100"/>
      <c r="S113" s="100"/>
      <c r="T113" s="100"/>
      <c r="U113" s="100"/>
      <c r="V113" s="100"/>
      <c r="W113" s="100"/>
      <c r="X113" s="100"/>
      <c r="Y113" s="101">
        <f>SUM(C113:X113)</f>
        <v>0</v>
      </c>
    </row>
    <row r="114" spans="1:26" s="91" customFormat="1" ht="21" customHeight="1">
      <c r="A114" s="93">
        <v>610100</v>
      </c>
      <c r="B114" s="94" t="s">
        <v>398</v>
      </c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164"/>
      <c r="P114" s="164"/>
      <c r="Q114" s="164"/>
      <c r="R114" s="70"/>
      <c r="S114" s="70"/>
      <c r="T114" s="70"/>
      <c r="U114" s="70"/>
      <c r="V114" s="70"/>
      <c r="W114" s="70"/>
      <c r="X114" s="70"/>
      <c r="Y114" s="95">
        <f>SUM(C114:X114)</f>
        <v>0</v>
      </c>
    </row>
    <row r="115" spans="1:26" s="91" customFormat="1" ht="21" customHeight="1">
      <c r="A115" s="96">
        <v>610200</v>
      </c>
      <c r="B115" s="97" t="s">
        <v>399</v>
      </c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165"/>
      <c r="P115" s="165"/>
      <c r="Q115" s="165"/>
      <c r="R115" s="76"/>
      <c r="S115" s="76"/>
      <c r="T115" s="76"/>
      <c r="U115" s="76"/>
      <c r="V115" s="76"/>
      <c r="W115" s="76"/>
      <c r="X115" s="76"/>
      <c r="Y115" s="95">
        <f t="shared" ref="Y115:Y117" si="36">SUM(C115:X115)</f>
        <v>0</v>
      </c>
    </row>
    <row r="116" spans="1:26" ht="21" customHeight="1">
      <c r="A116" s="96">
        <v>610300</v>
      </c>
      <c r="B116" s="97" t="s">
        <v>400</v>
      </c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165"/>
      <c r="P116" s="165"/>
      <c r="Q116" s="165"/>
      <c r="R116" s="76"/>
      <c r="S116" s="76"/>
      <c r="T116" s="76"/>
      <c r="U116" s="76"/>
      <c r="V116" s="76"/>
      <c r="W116" s="76"/>
      <c r="X116" s="76"/>
      <c r="Y116" s="95">
        <f>SUM(C116:X116)</f>
        <v>0</v>
      </c>
    </row>
    <row r="117" spans="1:26" ht="21" customHeight="1">
      <c r="A117" s="96">
        <v>610400</v>
      </c>
      <c r="B117" s="97" t="s">
        <v>401</v>
      </c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165"/>
      <c r="P117" s="165"/>
      <c r="Q117" s="165"/>
      <c r="R117" s="76"/>
      <c r="S117" s="76"/>
      <c r="T117" s="76"/>
      <c r="U117" s="76"/>
      <c r="V117" s="76"/>
      <c r="W117" s="76"/>
      <c r="X117" s="76"/>
      <c r="Y117" s="95">
        <f t="shared" si="36"/>
        <v>0</v>
      </c>
    </row>
    <row r="118" spans="1:26" ht="21" customHeight="1">
      <c r="A118" s="426" t="s">
        <v>174</v>
      </c>
      <c r="B118" s="427"/>
      <c r="C118" s="95">
        <f t="shared" ref="C118:Y118" si="37">SUM(C114:C117)</f>
        <v>0</v>
      </c>
      <c r="D118" s="95">
        <f t="shared" si="37"/>
        <v>0</v>
      </c>
      <c r="E118" s="95">
        <f t="shared" si="37"/>
        <v>0</v>
      </c>
      <c r="F118" s="95">
        <f t="shared" si="37"/>
        <v>0</v>
      </c>
      <c r="G118" s="95">
        <f t="shared" si="37"/>
        <v>0</v>
      </c>
      <c r="H118" s="95">
        <f t="shared" si="37"/>
        <v>0</v>
      </c>
      <c r="I118" s="95">
        <f t="shared" si="37"/>
        <v>0</v>
      </c>
      <c r="J118" s="95">
        <f t="shared" si="37"/>
        <v>0</v>
      </c>
      <c r="K118" s="95">
        <f t="shared" si="37"/>
        <v>0</v>
      </c>
      <c r="L118" s="95">
        <f>SUM(L114:L117)</f>
        <v>0</v>
      </c>
      <c r="M118" s="95">
        <f t="shared" si="37"/>
        <v>0</v>
      </c>
      <c r="N118" s="95">
        <f t="shared" si="37"/>
        <v>0</v>
      </c>
      <c r="O118" s="95">
        <f t="shared" si="37"/>
        <v>0</v>
      </c>
      <c r="P118" s="95">
        <f t="shared" si="37"/>
        <v>0</v>
      </c>
      <c r="Q118" s="95">
        <f t="shared" si="37"/>
        <v>0</v>
      </c>
      <c r="R118" s="95">
        <f t="shared" si="37"/>
        <v>0</v>
      </c>
      <c r="S118" s="95">
        <f t="shared" si="37"/>
        <v>0</v>
      </c>
      <c r="T118" s="95">
        <f t="shared" si="37"/>
        <v>0</v>
      </c>
      <c r="U118" s="95">
        <f t="shared" si="37"/>
        <v>0</v>
      </c>
      <c r="V118" s="95">
        <f t="shared" si="37"/>
        <v>0</v>
      </c>
      <c r="W118" s="95">
        <f t="shared" si="37"/>
        <v>0</v>
      </c>
      <c r="X118" s="95">
        <f>SUM(X114:X117)</f>
        <v>0</v>
      </c>
      <c r="Y118" s="95">
        <f t="shared" si="37"/>
        <v>0</v>
      </c>
    </row>
    <row r="119" spans="1:26" ht="21" customHeight="1">
      <c r="A119" s="428" t="s">
        <v>175</v>
      </c>
      <c r="B119" s="429"/>
      <c r="C119" s="99">
        <f>+C118</f>
        <v>0</v>
      </c>
      <c r="D119" s="99">
        <f t="shared" ref="D119:Y119" si="38">+D118</f>
        <v>0</v>
      </c>
      <c r="E119" s="99">
        <f t="shared" si="38"/>
        <v>0</v>
      </c>
      <c r="F119" s="99">
        <f t="shared" si="38"/>
        <v>0</v>
      </c>
      <c r="G119" s="99">
        <f t="shared" si="38"/>
        <v>0</v>
      </c>
      <c r="H119" s="99">
        <f t="shared" si="38"/>
        <v>0</v>
      </c>
      <c r="I119" s="99">
        <f t="shared" si="38"/>
        <v>0</v>
      </c>
      <c r="J119" s="99">
        <f t="shared" si="38"/>
        <v>0</v>
      </c>
      <c r="K119" s="99">
        <f t="shared" si="38"/>
        <v>0</v>
      </c>
      <c r="L119" s="99">
        <f t="shared" si="38"/>
        <v>0</v>
      </c>
      <c r="M119" s="99">
        <f t="shared" si="38"/>
        <v>0</v>
      </c>
      <c r="N119" s="99">
        <f t="shared" si="38"/>
        <v>0</v>
      </c>
      <c r="O119" s="99">
        <f t="shared" si="38"/>
        <v>0</v>
      </c>
      <c r="P119" s="99">
        <f t="shared" si="38"/>
        <v>0</v>
      </c>
      <c r="Q119" s="99">
        <f t="shared" si="38"/>
        <v>0</v>
      </c>
      <c r="R119" s="99">
        <f t="shared" si="38"/>
        <v>0</v>
      </c>
      <c r="S119" s="99">
        <f t="shared" si="38"/>
        <v>0</v>
      </c>
      <c r="T119" s="99">
        <f t="shared" si="38"/>
        <v>0</v>
      </c>
      <c r="U119" s="99">
        <f t="shared" si="38"/>
        <v>0</v>
      </c>
      <c r="V119" s="99">
        <f t="shared" si="38"/>
        <v>0</v>
      </c>
      <c r="W119" s="99">
        <f t="shared" si="38"/>
        <v>0</v>
      </c>
      <c r="X119" s="99">
        <f t="shared" si="38"/>
        <v>0</v>
      </c>
      <c r="Y119" s="99">
        <f t="shared" si="38"/>
        <v>0</v>
      </c>
    </row>
    <row r="120" spans="1:26" ht="21" customHeight="1">
      <c r="A120" s="430" t="s">
        <v>174</v>
      </c>
      <c r="B120" s="431"/>
      <c r="C120" s="44">
        <f t="shared" ref="C120:X120" si="39">SUM(C19,C27,C39,C49,C56,C75,C82,C99,C107,C111,C118)</f>
        <v>0</v>
      </c>
      <c r="D120" s="44">
        <f t="shared" si="39"/>
        <v>0</v>
      </c>
      <c r="E120" s="44">
        <f t="shared" si="39"/>
        <v>0</v>
      </c>
      <c r="F120" s="44">
        <f t="shared" si="39"/>
        <v>0</v>
      </c>
      <c r="G120" s="44">
        <f t="shared" si="39"/>
        <v>0</v>
      </c>
      <c r="H120" s="44">
        <f t="shared" si="39"/>
        <v>0</v>
      </c>
      <c r="I120" s="44">
        <f t="shared" si="39"/>
        <v>0</v>
      </c>
      <c r="J120" s="44">
        <f t="shared" si="39"/>
        <v>0</v>
      </c>
      <c r="K120" s="44">
        <f t="shared" si="39"/>
        <v>0</v>
      </c>
      <c r="L120" s="44">
        <f t="shared" si="39"/>
        <v>0</v>
      </c>
      <c r="M120" s="44">
        <f t="shared" si="39"/>
        <v>0</v>
      </c>
      <c r="N120" s="44">
        <f t="shared" si="39"/>
        <v>0</v>
      </c>
      <c r="O120" s="44">
        <f t="shared" si="39"/>
        <v>0</v>
      </c>
      <c r="P120" s="44">
        <f t="shared" si="39"/>
        <v>0</v>
      </c>
      <c r="Q120" s="44">
        <f t="shared" si="39"/>
        <v>0</v>
      </c>
      <c r="R120" s="44">
        <f t="shared" si="39"/>
        <v>0</v>
      </c>
      <c r="S120" s="44">
        <f t="shared" si="39"/>
        <v>0</v>
      </c>
      <c r="T120" s="44">
        <f t="shared" si="39"/>
        <v>0</v>
      </c>
      <c r="U120" s="44">
        <f t="shared" si="39"/>
        <v>0</v>
      </c>
      <c r="V120" s="44">
        <f t="shared" si="39"/>
        <v>0</v>
      </c>
      <c r="W120" s="44">
        <f t="shared" si="39"/>
        <v>0</v>
      </c>
      <c r="X120" s="44">
        <f t="shared" si="39"/>
        <v>0</v>
      </c>
      <c r="Y120" s="44">
        <f>SUM(C120:X120)</f>
        <v>0</v>
      </c>
    </row>
    <row r="121" spans="1:26" ht="21" customHeight="1">
      <c r="A121" s="430" t="s">
        <v>175</v>
      </c>
      <c r="B121" s="431"/>
      <c r="C121" s="44">
        <f t="shared" ref="C121:X121" si="40">SUM(C20,C28,C40,C50,C57,C76,C83,C100,C108,C112,C119)</f>
        <v>0</v>
      </c>
      <c r="D121" s="44">
        <f t="shared" si="40"/>
        <v>0</v>
      </c>
      <c r="E121" s="44">
        <f t="shared" si="40"/>
        <v>0</v>
      </c>
      <c r="F121" s="44">
        <f t="shared" si="40"/>
        <v>0</v>
      </c>
      <c r="G121" s="44">
        <f t="shared" si="40"/>
        <v>0</v>
      </c>
      <c r="H121" s="44">
        <f t="shared" si="40"/>
        <v>0</v>
      </c>
      <c r="I121" s="44">
        <f t="shared" si="40"/>
        <v>0</v>
      </c>
      <c r="J121" s="44">
        <f t="shared" si="40"/>
        <v>0</v>
      </c>
      <c r="K121" s="44">
        <f t="shared" si="40"/>
        <v>0</v>
      </c>
      <c r="L121" s="44">
        <f t="shared" si="40"/>
        <v>0</v>
      </c>
      <c r="M121" s="44">
        <f t="shared" si="40"/>
        <v>0</v>
      </c>
      <c r="N121" s="44">
        <f t="shared" si="40"/>
        <v>0</v>
      </c>
      <c r="O121" s="44">
        <f t="shared" si="40"/>
        <v>0</v>
      </c>
      <c r="P121" s="44">
        <f t="shared" si="40"/>
        <v>0</v>
      </c>
      <c r="Q121" s="44">
        <f t="shared" si="40"/>
        <v>0</v>
      </c>
      <c r="R121" s="44">
        <f t="shared" si="40"/>
        <v>0</v>
      </c>
      <c r="S121" s="44">
        <f t="shared" si="40"/>
        <v>0</v>
      </c>
      <c r="T121" s="44">
        <f t="shared" si="40"/>
        <v>0</v>
      </c>
      <c r="U121" s="44">
        <f t="shared" si="40"/>
        <v>0</v>
      </c>
      <c r="V121" s="44">
        <f t="shared" si="40"/>
        <v>0</v>
      </c>
      <c r="W121" s="44">
        <f t="shared" si="40"/>
        <v>0</v>
      </c>
      <c r="X121" s="44">
        <f t="shared" si="40"/>
        <v>0</v>
      </c>
      <c r="Y121" s="44">
        <f>SUM(C121:X121)</f>
        <v>0</v>
      </c>
      <c r="Z121" s="91">
        <f>+Z120-Y120</f>
        <v>0</v>
      </c>
    </row>
    <row r="122" spans="1:26" ht="21" customHeight="1">
      <c r="A122" s="440" t="s">
        <v>253</v>
      </c>
      <c r="B122" s="440"/>
      <c r="C122" s="440"/>
      <c r="D122" s="440"/>
      <c r="E122" s="440"/>
      <c r="F122" s="440"/>
      <c r="G122" s="440"/>
      <c r="H122" s="440"/>
      <c r="I122" s="440"/>
      <c r="J122" s="440"/>
      <c r="K122" s="440"/>
      <c r="L122" s="440"/>
      <c r="M122" s="440"/>
      <c r="N122" s="440"/>
      <c r="O122" s="328"/>
      <c r="P122" s="441" t="str">
        <f>+A122</f>
        <v>เทศบาลตำบลเขาพระ อำเภอพิปูน จังหวัดนครศรีธรรมราช</v>
      </c>
      <c r="Q122" s="441"/>
      <c r="R122" s="441"/>
      <c r="S122" s="441"/>
      <c r="T122" s="441"/>
      <c r="U122" s="441"/>
      <c r="V122" s="441"/>
      <c r="W122" s="441"/>
      <c r="X122" s="441"/>
      <c r="Y122" s="441"/>
      <c r="Z122" s="91">
        <f>+Z121+Y120</f>
        <v>0</v>
      </c>
    </row>
    <row r="123" spans="1:26" ht="21" customHeight="1">
      <c r="A123" s="440" t="s">
        <v>406</v>
      </c>
      <c r="B123" s="440"/>
      <c r="C123" s="440"/>
      <c r="D123" s="440"/>
      <c r="E123" s="440"/>
      <c r="F123" s="440"/>
      <c r="G123" s="440"/>
      <c r="H123" s="440"/>
      <c r="I123" s="440"/>
      <c r="J123" s="440"/>
      <c r="K123" s="440"/>
      <c r="L123" s="440"/>
      <c r="M123" s="440"/>
      <c r="N123" s="440"/>
      <c r="O123" s="328"/>
      <c r="P123" s="442" t="s">
        <v>384</v>
      </c>
      <c r="Q123" s="442"/>
      <c r="R123" s="442"/>
      <c r="S123" s="442"/>
      <c r="T123" s="442"/>
      <c r="U123" s="442"/>
      <c r="V123" s="442"/>
      <c r="W123" s="442"/>
      <c r="X123" s="442"/>
      <c r="Y123" s="442"/>
    </row>
    <row r="124" spans="1:26" ht="21" customHeight="1">
      <c r="A124" s="440" t="s">
        <v>411</v>
      </c>
      <c r="B124" s="440"/>
      <c r="C124" s="440"/>
      <c r="D124" s="440"/>
      <c r="E124" s="440"/>
      <c r="F124" s="440"/>
      <c r="G124" s="440"/>
      <c r="H124" s="440"/>
      <c r="I124" s="440"/>
      <c r="J124" s="440"/>
      <c r="K124" s="440"/>
      <c r="L124" s="440"/>
      <c r="M124" s="440"/>
      <c r="N124" s="440"/>
      <c r="O124" s="328"/>
      <c r="P124" s="442" t="s">
        <v>411</v>
      </c>
      <c r="Q124" s="442"/>
      <c r="R124" s="442"/>
      <c r="S124" s="442"/>
      <c r="T124" s="442"/>
      <c r="U124" s="442"/>
      <c r="V124" s="442"/>
      <c r="W124" s="442"/>
      <c r="X124" s="442"/>
      <c r="Y124" s="442"/>
    </row>
    <row r="125" spans="1:26" ht="21" customHeight="1">
      <c r="A125" s="440" t="s">
        <v>407</v>
      </c>
      <c r="B125" s="440"/>
      <c r="C125" s="440"/>
      <c r="D125" s="440"/>
      <c r="E125" s="440"/>
      <c r="F125" s="440"/>
      <c r="G125" s="440"/>
      <c r="H125" s="440"/>
      <c r="I125" s="440"/>
      <c r="J125" s="440"/>
      <c r="K125" s="440"/>
      <c r="L125" s="440"/>
      <c r="M125" s="440"/>
      <c r="N125" s="440"/>
      <c r="O125" s="316"/>
      <c r="P125" s="442" t="s">
        <v>407</v>
      </c>
      <c r="Q125" s="442"/>
      <c r="R125" s="442"/>
      <c r="S125" s="442"/>
      <c r="T125" s="442"/>
      <c r="U125" s="442"/>
      <c r="V125" s="442"/>
      <c r="W125" s="442"/>
      <c r="X125" s="442"/>
      <c r="Y125" s="442"/>
    </row>
    <row r="126" spans="1:26" ht="21" customHeight="1">
      <c r="A126" s="443" t="s">
        <v>408</v>
      </c>
      <c r="B126" s="443"/>
      <c r="C126" s="443"/>
      <c r="D126" s="443"/>
      <c r="E126" s="443"/>
      <c r="F126" s="443"/>
      <c r="G126" s="443"/>
      <c r="H126" s="443"/>
      <c r="I126" s="443"/>
      <c r="J126" s="443"/>
      <c r="K126" s="443"/>
      <c r="L126" s="443"/>
      <c r="M126" s="443"/>
      <c r="N126" s="443"/>
      <c r="O126" s="317"/>
      <c r="P126" s="444" t="s">
        <v>408</v>
      </c>
      <c r="Q126" s="444"/>
      <c r="R126" s="444"/>
      <c r="S126" s="444"/>
      <c r="T126" s="444"/>
      <c r="U126" s="444"/>
      <c r="V126" s="444"/>
      <c r="W126" s="444"/>
      <c r="X126" s="444"/>
      <c r="Y126" s="444"/>
    </row>
    <row r="127" spans="1:26" ht="21" customHeight="1">
      <c r="A127" s="435" t="s">
        <v>139</v>
      </c>
      <c r="B127" s="435"/>
      <c r="C127" s="434" t="s">
        <v>141</v>
      </c>
      <c r="D127" s="434"/>
      <c r="E127" s="437" t="s">
        <v>144</v>
      </c>
      <c r="F127" s="438"/>
      <c r="G127" s="434" t="s">
        <v>146</v>
      </c>
      <c r="H127" s="435"/>
      <c r="I127" s="437" t="s">
        <v>160</v>
      </c>
      <c r="J127" s="438"/>
      <c r="K127" s="326" t="s">
        <v>161</v>
      </c>
      <c r="L127" s="437" t="s">
        <v>162</v>
      </c>
      <c r="M127" s="439"/>
      <c r="N127" s="439"/>
      <c r="O127" s="438"/>
      <c r="P127" s="437" t="s">
        <v>163</v>
      </c>
      <c r="Q127" s="438"/>
      <c r="R127" s="437" t="s">
        <v>164</v>
      </c>
      <c r="S127" s="439"/>
      <c r="T127" s="438"/>
      <c r="U127" s="434" t="s">
        <v>165</v>
      </c>
      <c r="V127" s="435"/>
      <c r="W127" s="326" t="s">
        <v>212</v>
      </c>
      <c r="X127" s="326" t="s">
        <v>166</v>
      </c>
      <c r="Y127" s="436" t="s">
        <v>17</v>
      </c>
    </row>
    <row r="128" spans="1:26" ht="21" customHeight="1">
      <c r="A128" s="435" t="s">
        <v>140</v>
      </c>
      <c r="B128" s="435"/>
      <c r="C128" s="326" t="s">
        <v>142</v>
      </c>
      <c r="D128" s="326" t="s">
        <v>143</v>
      </c>
      <c r="E128" s="326" t="s">
        <v>145</v>
      </c>
      <c r="F128" s="326" t="s">
        <v>214</v>
      </c>
      <c r="G128" s="326" t="s">
        <v>147</v>
      </c>
      <c r="H128" s="326" t="s">
        <v>148</v>
      </c>
      <c r="I128" s="326" t="s">
        <v>149</v>
      </c>
      <c r="J128" s="326" t="s">
        <v>150</v>
      </c>
      <c r="K128" s="326" t="s">
        <v>151</v>
      </c>
      <c r="L128" s="326" t="s">
        <v>152</v>
      </c>
      <c r="M128" s="326" t="s">
        <v>153</v>
      </c>
      <c r="N128" s="326" t="s">
        <v>238</v>
      </c>
      <c r="O128" s="326" t="s">
        <v>331</v>
      </c>
      <c r="P128" s="327" t="s">
        <v>303</v>
      </c>
      <c r="Q128" s="327" t="s">
        <v>154</v>
      </c>
      <c r="R128" s="326" t="s">
        <v>155</v>
      </c>
      <c r="S128" s="326" t="s">
        <v>156</v>
      </c>
      <c r="T128" s="326" t="s">
        <v>216</v>
      </c>
      <c r="U128" s="326" t="s">
        <v>157</v>
      </c>
      <c r="V128" s="326" t="s">
        <v>158</v>
      </c>
      <c r="W128" s="326" t="s">
        <v>213</v>
      </c>
      <c r="X128" s="326" t="s">
        <v>159</v>
      </c>
      <c r="Y128" s="436"/>
    </row>
    <row r="129" spans="1:25" ht="21" customHeight="1">
      <c r="A129" s="432" t="s">
        <v>385</v>
      </c>
      <c r="B129" s="433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163"/>
      <c r="P129" s="163"/>
      <c r="Q129" s="163"/>
      <c r="R129" s="92"/>
      <c r="S129" s="92"/>
      <c r="T129" s="92"/>
      <c r="U129" s="92"/>
      <c r="V129" s="92"/>
      <c r="W129" s="92"/>
      <c r="X129" s="92"/>
      <c r="Y129" s="92"/>
    </row>
    <row r="130" spans="1:25" ht="21" customHeight="1">
      <c r="A130" s="314">
        <v>110100</v>
      </c>
      <c r="B130" s="311" t="s">
        <v>342</v>
      </c>
      <c r="C130" s="312"/>
      <c r="D130" s="312"/>
      <c r="E130" s="312"/>
      <c r="F130" s="312"/>
      <c r="G130" s="312"/>
      <c r="H130" s="312"/>
      <c r="I130" s="312"/>
      <c r="J130" s="312"/>
      <c r="K130" s="312"/>
      <c r="L130" s="312"/>
      <c r="M130" s="312"/>
      <c r="N130" s="312"/>
      <c r="O130" s="313"/>
      <c r="P130" s="313"/>
      <c r="Q130" s="313"/>
      <c r="R130" s="312"/>
      <c r="S130" s="312"/>
      <c r="T130" s="312"/>
      <c r="U130" s="312"/>
      <c r="V130" s="312"/>
      <c r="W130" s="312"/>
      <c r="X130" s="312"/>
      <c r="Y130" s="95">
        <f>SUM(C130:X130)</f>
        <v>0</v>
      </c>
    </row>
    <row r="131" spans="1:25" ht="21" customHeight="1">
      <c r="A131" s="314">
        <v>110200</v>
      </c>
      <c r="B131" s="311" t="s">
        <v>329</v>
      </c>
      <c r="C131" s="312"/>
      <c r="D131" s="312"/>
      <c r="E131" s="312"/>
      <c r="F131" s="312"/>
      <c r="G131" s="312"/>
      <c r="H131" s="312"/>
      <c r="I131" s="312"/>
      <c r="J131" s="312"/>
      <c r="K131" s="312"/>
      <c r="L131" s="312"/>
      <c r="M131" s="312"/>
      <c r="N131" s="312"/>
      <c r="O131" s="313"/>
      <c r="P131" s="313"/>
      <c r="Q131" s="313"/>
      <c r="R131" s="312"/>
      <c r="S131" s="312"/>
      <c r="T131" s="312"/>
      <c r="U131" s="312"/>
      <c r="V131" s="312"/>
      <c r="W131" s="312"/>
      <c r="X131" s="312"/>
      <c r="Y131" s="95">
        <f t="shared" ref="Y131" si="41">SUM(C131:X131)</f>
        <v>0</v>
      </c>
    </row>
    <row r="132" spans="1:25" ht="21" customHeight="1">
      <c r="A132" s="93">
        <v>110300</v>
      </c>
      <c r="B132" s="94" t="s">
        <v>167</v>
      </c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164"/>
      <c r="P132" s="164"/>
      <c r="Q132" s="164"/>
      <c r="R132" s="70"/>
      <c r="S132" s="70"/>
      <c r="T132" s="70"/>
      <c r="U132" s="70"/>
      <c r="V132" s="70"/>
      <c r="W132" s="70"/>
      <c r="X132" s="70"/>
      <c r="Y132" s="95">
        <f>SUM(C132:X132)</f>
        <v>0</v>
      </c>
    </row>
    <row r="133" spans="1:25" ht="21" customHeight="1">
      <c r="A133" s="93">
        <v>110700</v>
      </c>
      <c r="B133" s="94" t="s">
        <v>101</v>
      </c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164"/>
      <c r="P133" s="164"/>
      <c r="Q133" s="164"/>
      <c r="R133" s="70"/>
      <c r="S133" s="70"/>
      <c r="T133" s="70"/>
      <c r="U133" s="70"/>
      <c r="V133" s="70"/>
      <c r="W133" s="70"/>
      <c r="X133" s="70"/>
      <c r="Y133" s="95">
        <f t="shared" ref="Y133:Y138" si="42">SUM(C133:X133)</f>
        <v>0</v>
      </c>
    </row>
    <row r="134" spans="1:25" ht="21" customHeight="1">
      <c r="A134" s="93">
        <v>110800</v>
      </c>
      <c r="B134" s="94" t="s">
        <v>105</v>
      </c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164"/>
      <c r="P134" s="164"/>
      <c r="Q134" s="164"/>
      <c r="R134" s="70"/>
      <c r="S134" s="70"/>
      <c r="T134" s="70"/>
      <c r="U134" s="70"/>
      <c r="V134" s="70"/>
      <c r="W134" s="70"/>
      <c r="X134" s="70"/>
      <c r="Y134" s="95">
        <f t="shared" si="42"/>
        <v>0</v>
      </c>
    </row>
    <row r="135" spans="1:25" ht="21" customHeight="1">
      <c r="A135" s="93">
        <v>110900</v>
      </c>
      <c r="B135" s="94" t="s">
        <v>106</v>
      </c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164"/>
      <c r="P135" s="164"/>
      <c r="Q135" s="164"/>
      <c r="R135" s="70"/>
      <c r="S135" s="70"/>
      <c r="T135" s="70"/>
      <c r="U135" s="70"/>
      <c r="V135" s="70"/>
      <c r="W135" s="70"/>
      <c r="X135" s="70"/>
      <c r="Y135" s="95">
        <f t="shared" si="42"/>
        <v>0</v>
      </c>
    </row>
    <row r="136" spans="1:25" ht="21" customHeight="1">
      <c r="A136" s="93">
        <v>111000</v>
      </c>
      <c r="B136" s="94" t="s">
        <v>107</v>
      </c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164"/>
      <c r="P136" s="164"/>
      <c r="Q136" s="164"/>
      <c r="R136" s="70"/>
      <c r="S136" s="70"/>
      <c r="T136" s="70"/>
      <c r="U136" s="70"/>
      <c r="V136" s="70"/>
      <c r="W136" s="70"/>
      <c r="X136" s="70"/>
      <c r="Y136" s="95">
        <f t="shared" si="42"/>
        <v>0</v>
      </c>
    </row>
    <row r="137" spans="1:25" ht="21" customHeight="1">
      <c r="A137" s="93">
        <v>111100</v>
      </c>
      <c r="B137" s="94" t="s">
        <v>330</v>
      </c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164"/>
      <c r="P137" s="164"/>
      <c r="Q137" s="164"/>
      <c r="R137" s="70"/>
      <c r="S137" s="70"/>
      <c r="T137" s="70"/>
      <c r="U137" s="70"/>
      <c r="V137" s="70"/>
      <c r="W137" s="70"/>
      <c r="X137" s="70"/>
      <c r="Y137" s="95">
        <f t="shared" si="42"/>
        <v>0</v>
      </c>
    </row>
    <row r="138" spans="1:25" ht="21" customHeight="1">
      <c r="A138" s="93">
        <v>111100</v>
      </c>
      <c r="B138" s="94" t="s">
        <v>297</v>
      </c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164"/>
      <c r="P138" s="164"/>
      <c r="Q138" s="164"/>
      <c r="R138" s="70"/>
      <c r="S138" s="70"/>
      <c r="T138" s="70"/>
      <c r="U138" s="70"/>
      <c r="V138" s="70"/>
      <c r="W138" s="70"/>
      <c r="X138" s="70"/>
      <c r="Y138" s="95">
        <f t="shared" si="42"/>
        <v>0</v>
      </c>
    </row>
    <row r="139" spans="1:25" ht="21" customHeight="1">
      <c r="A139" s="96">
        <v>120100</v>
      </c>
      <c r="B139" s="97" t="s">
        <v>168</v>
      </c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165"/>
      <c r="P139" s="165"/>
      <c r="Q139" s="165"/>
      <c r="R139" s="76"/>
      <c r="S139" s="76"/>
      <c r="T139" s="76"/>
      <c r="U139" s="76"/>
      <c r="V139" s="76"/>
      <c r="W139" s="76"/>
      <c r="X139" s="76"/>
      <c r="Y139" s="98">
        <f>SUM(C139:X139)</f>
        <v>0</v>
      </c>
    </row>
    <row r="140" spans="1:25" ht="21" customHeight="1">
      <c r="A140" s="432" t="s">
        <v>386</v>
      </c>
      <c r="B140" s="433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67"/>
      <c r="P140" s="167"/>
      <c r="Q140" s="167"/>
      <c r="R140" s="100"/>
      <c r="S140" s="100"/>
      <c r="T140" s="100"/>
      <c r="U140" s="100"/>
      <c r="V140" s="100"/>
      <c r="W140" s="100"/>
      <c r="X140" s="100"/>
      <c r="Y140" s="101">
        <f t="shared" ref="Y140:Y145" si="43">SUM(C140:X140)</f>
        <v>0</v>
      </c>
    </row>
    <row r="141" spans="1:25" ht="21" customHeight="1">
      <c r="A141" s="93">
        <v>210100</v>
      </c>
      <c r="B141" s="68" t="s">
        <v>169</v>
      </c>
      <c r="C141" s="70"/>
      <c r="D141" s="70">
        <v>0</v>
      </c>
      <c r="E141" s="70"/>
      <c r="F141" s="70"/>
      <c r="G141" s="70"/>
      <c r="H141" s="70"/>
      <c r="I141" s="70"/>
      <c r="J141" s="70"/>
      <c r="K141" s="70"/>
      <c r="L141" s="70">
        <v>0</v>
      </c>
      <c r="M141" s="70"/>
      <c r="N141" s="70"/>
      <c r="O141" s="164"/>
      <c r="P141" s="164"/>
      <c r="Q141" s="164"/>
      <c r="R141" s="70"/>
      <c r="S141" s="70"/>
      <c r="T141" s="70"/>
      <c r="U141" s="70"/>
      <c r="V141" s="70"/>
      <c r="W141" s="70"/>
      <c r="X141" s="70"/>
      <c r="Y141" s="95">
        <f t="shared" si="43"/>
        <v>0</v>
      </c>
    </row>
    <row r="142" spans="1:25" ht="21" customHeight="1">
      <c r="A142" s="93">
        <v>210200</v>
      </c>
      <c r="B142" s="68" t="s">
        <v>173</v>
      </c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164"/>
      <c r="P142" s="164"/>
      <c r="Q142" s="164"/>
      <c r="R142" s="70"/>
      <c r="S142" s="70"/>
      <c r="T142" s="70"/>
      <c r="U142" s="70"/>
      <c r="V142" s="70"/>
      <c r="W142" s="70"/>
      <c r="X142" s="70"/>
      <c r="Y142" s="95">
        <f t="shared" si="43"/>
        <v>0</v>
      </c>
    </row>
    <row r="143" spans="1:25" ht="21" customHeight="1">
      <c r="A143" s="93">
        <v>210300</v>
      </c>
      <c r="B143" s="68" t="s">
        <v>170</v>
      </c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164"/>
      <c r="P143" s="164"/>
      <c r="Q143" s="164"/>
      <c r="R143" s="70"/>
      <c r="S143" s="70"/>
      <c r="T143" s="70"/>
      <c r="U143" s="70"/>
      <c r="V143" s="70"/>
      <c r="W143" s="70"/>
      <c r="X143" s="70"/>
      <c r="Y143" s="95">
        <f t="shared" si="43"/>
        <v>0</v>
      </c>
    </row>
    <row r="144" spans="1:25" ht="21" customHeight="1">
      <c r="A144" s="93">
        <v>210400</v>
      </c>
      <c r="B144" s="68" t="s">
        <v>171</v>
      </c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164"/>
      <c r="P144" s="164"/>
      <c r="Q144" s="164"/>
      <c r="R144" s="70"/>
      <c r="S144" s="70"/>
      <c r="T144" s="70"/>
      <c r="U144" s="70"/>
      <c r="V144" s="70"/>
      <c r="W144" s="70"/>
      <c r="X144" s="70"/>
      <c r="Y144" s="95">
        <f t="shared" si="43"/>
        <v>0</v>
      </c>
    </row>
    <row r="145" spans="1:25" ht="21" customHeight="1">
      <c r="A145" s="96">
        <v>210600</v>
      </c>
      <c r="B145" s="69" t="s">
        <v>172</v>
      </c>
      <c r="C145" s="70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165"/>
      <c r="P145" s="165"/>
      <c r="Q145" s="165"/>
      <c r="R145" s="76"/>
      <c r="S145" s="76"/>
      <c r="T145" s="76"/>
      <c r="U145" s="76"/>
      <c r="V145" s="76"/>
      <c r="W145" s="76"/>
      <c r="X145" s="76"/>
      <c r="Y145" s="98">
        <f t="shared" si="43"/>
        <v>0</v>
      </c>
    </row>
    <row r="146" spans="1:25" ht="21" customHeight="1">
      <c r="A146" s="432" t="s">
        <v>387</v>
      </c>
      <c r="B146" s="433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67"/>
      <c r="P146" s="167"/>
      <c r="Q146" s="167"/>
      <c r="R146" s="100"/>
      <c r="S146" s="100"/>
      <c r="T146" s="100"/>
      <c r="U146" s="100"/>
      <c r="V146" s="100"/>
      <c r="W146" s="100"/>
      <c r="X146" s="100"/>
      <c r="Y146" s="101">
        <f t="shared" ref="Y146" si="44">SUM(C146:X146)</f>
        <v>0</v>
      </c>
    </row>
    <row r="147" spans="1:25" ht="21" customHeight="1">
      <c r="A147" s="93">
        <v>220100</v>
      </c>
      <c r="B147" s="68" t="s">
        <v>176</v>
      </c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237"/>
      <c r="O147" s="268"/>
      <c r="P147" s="164"/>
      <c r="Q147" s="164"/>
      <c r="R147" s="70"/>
      <c r="S147" s="70"/>
      <c r="T147" s="70"/>
      <c r="U147" s="70"/>
      <c r="V147" s="70"/>
      <c r="W147" s="70"/>
      <c r="X147" s="70"/>
      <c r="Y147" s="95">
        <f>SUM(C147:X147)</f>
        <v>0</v>
      </c>
    </row>
    <row r="148" spans="1:25" ht="21" customHeight="1">
      <c r="A148" s="93">
        <v>220200</v>
      </c>
      <c r="B148" s="68" t="s">
        <v>177</v>
      </c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238"/>
      <c r="O148" s="94"/>
      <c r="P148" s="164"/>
      <c r="Q148" s="164"/>
      <c r="R148" s="70"/>
      <c r="S148" s="70"/>
      <c r="T148" s="70"/>
      <c r="U148" s="70"/>
      <c r="V148" s="70"/>
      <c r="W148" s="70"/>
      <c r="X148" s="70"/>
      <c r="Y148" s="95">
        <f t="shared" ref="Y148:Y151" si="45">SUM(C148:X148)</f>
        <v>0</v>
      </c>
    </row>
    <row r="149" spans="1:25" ht="21" customHeight="1">
      <c r="A149" s="93">
        <v>220300</v>
      </c>
      <c r="B149" s="68" t="s">
        <v>178</v>
      </c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238"/>
      <c r="O149" s="94"/>
      <c r="P149" s="164"/>
      <c r="Q149" s="164"/>
      <c r="R149" s="70"/>
      <c r="S149" s="70"/>
      <c r="T149" s="70"/>
      <c r="U149" s="70"/>
      <c r="V149" s="70"/>
      <c r="W149" s="70"/>
      <c r="X149" s="70"/>
      <c r="Y149" s="95">
        <f t="shared" si="45"/>
        <v>0</v>
      </c>
    </row>
    <row r="150" spans="1:25" ht="21" customHeight="1">
      <c r="A150" s="93">
        <v>220500</v>
      </c>
      <c r="B150" s="68" t="s">
        <v>3</v>
      </c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238"/>
      <c r="O150" s="94"/>
      <c r="P150" s="164"/>
      <c r="Q150" s="164"/>
      <c r="R150" s="70"/>
      <c r="S150" s="70"/>
      <c r="T150" s="70"/>
      <c r="U150" s="70"/>
      <c r="V150" s="70"/>
      <c r="W150" s="70"/>
      <c r="X150" s="70"/>
      <c r="Y150" s="95">
        <f t="shared" si="45"/>
        <v>0</v>
      </c>
    </row>
    <row r="151" spans="1:25" ht="21" customHeight="1">
      <c r="A151" s="93">
        <v>220600</v>
      </c>
      <c r="B151" s="68" t="s">
        <v>179</v>
      </c>
      <c r="C151" s="70">
        <v>0</v>
      </c>
      <c r="D151" s="70">
        <v>0</v>
      </c>
      <c r="E151" s="70"/>
      <c r="F151" s="70"/>
      <c r="G151" s="70"/>
      <c r="H151" s="70"/>
      <c r="I151" s="70"/>
      <c r="J151" s="70"/>
      <c r="K151" s="70"/>
      <c r="L151" s="70">
        <v>0</v>
      </c>
      <c r="M151" s="70"/>
      <c r="N151" s="239"/>
      <c r="O151" s="165"/>
      <c r="P151" s="164"/>
      <c r="Q151" s="164"/>
      <c r="R151" s="70"/>
      <c r="S151" s="70"/>
      <c r="T151" s="70"/>
      <c r="U151" s="70"/>
      <c r="V151" s="70"/>
      <c r="W151" s="70"/>
      <c r="X151" s="70"/>
      <c r="Y151" s="95">
        <f t="shared" si="45"/>
        <v>0</v>
      </c>
    </row>
    <row r="152" spans="1:25" ht="21" customHeight="1">
      <c r="A152" s="435" t="s">
        <v>139</v>
      </c>
      <c r="B152" s="435"/>
      <c r="C152" s="434" t="s">
        <v>141</v>
      </c>
      <c r="D152" s="434"/>
      <c r="E152" s="437" t="s">
        <v>144</v>
      </c>
      <c r="F152" s="438"/>
      <c r="G152" s="434" t="s">
        <v>146</v>
      </c>
      <c r="H152" s="435"/>
      <c r="I152" s="437" t="s">
        <v>160</v>
      </c>
      <c r="J152" s="438"/>
      <c r="K152" s="326" t="s">
        <v>161</v>
      </c>
      <c r="L152" s="437" t="s">
        <v>162</v>
      </c>
      <c r="M152" s="439"/>
      <c r="N152" s="439"/>
      <c r="O152" s="438"/>
      <c r="P152" s="437" t="s">
        <v>163</v>
      </c>
      <c r="Q152" s="438"/>
      <c r="R152" s="437" t="s">
        <v>164</v>
      </c>
      <c r="S152" s="439"/>
      <c r="T152" s="438"/>
      <c r="U152" s="434" t="s">
        <v>165</v>
      </c>
      <c r="V152" s="435"/>
      <c r="W152" s="326" t="s">
        <v>212</v>
      </c>
      <c r="X152" s="326" t="s">
        <v>166</v>
      </c>
      <c r="Y152" s="436" t="s">
        <v>17</v>
      </c>
    </row>
    <row r="153" spans="1:25" ht="21" customHeight="1">
      <c r="A153" s="435" t="s">
        <v>140</v>
      </c>
      <c r="B153" s="435"/>
      <c r="C153" s="326" t="s">
        <v>142</v>
      </c>
      <c r="D153" s="326" t="s">
        <v>143</v>
      </c>
      <c r="E153" s="326" t="s">
        <v>145</v>
      </c>
      <c r="F153" s="326" t="s">
        <v>214</v>
      </c>
      <c r="G153" s="326" t="s">
        <v>147</v>
      </c>
      <c r="H153" s="326" t="s">
        <v>148</v>
      </c>
      <c r="I153" s="326" t="s">
        <v>149</v>
      </c>
      <c r="J153" s="326" t="s">
        <v>150</v>
      </c>
      <c r="K153" s="326" t="s">
        <v>151</v>
      </c>
      <c r="L153" s="326" t="s">
        <v>152</v>
      </c>
      <c r="M153" s="326" t="s">
        <v>153</v>
      </c>
      <c r="N153" s="326" t="s">
        <v>238</v>
      </c>
      <c r="O153" s="326" t="s">
        <v>331</v>
      </c>
      <c r="P153" s="327" t="s">
        <v>303</v>
      </c>
      <c r="Q153" s="327" t="s">
        <v>154</v>
      </c>
      <c r="R153" s="326" t="s">
        <v>155</v>
      </c>
      <c r="S153" s="326" t="s">
        <v>156</v>
      </c>
      <c r="T153" s="326" t="s">
        <v>216</v>
      </c>
      <c r="U153" s="326" t="s">
        <v>157</v>
      </c>
      <c r="V153" s="326" t="s">
        <v>158</v>
      </c>
      <c r="W153" s="326" t="s">
        <v>213</v>
      </c>
      <c r="X153" s="326" t="s">
        <v>159</v>
      </c>
      <c r="Y153" s="436"/>
    </row>
    <row r="154" spans="1:25" ht="21" customHeight="1">
      <c r="A154" s="93">
        <v>220700</v>
      </c>
      <c r="B154" s="68" t="s">
        <v>180</v>
      </c>
      <c r="C154" s="70"/>
      <c r="D154" s="70"/>
      <c r="E154" s="70"/>
      <c r="F154" s="70"/>
      <c r="G154" s="70"/>
      <c r="H154" s="74"/>
      <c r="I154" s="70"/>
      <c r="J154" s="70"/>
      <c r="K154" s="70"/>
      <c r="L154" s="70"/>
      <c r="M154" s="70"/>
      <c r="N154" s="70"/>
      <c r="O154" s="164"/>
      <c r="P154" s="164"/>
      <c r="Q154" s="164"/>
      <c r="R154" s="70"/>
      <c r="S154" s="70"/>
      <c r="T154" s="70"/>
      <c r="U154" s="70"/>
      <c r="V154" s="70"/>
      <c r="W154" s="70"/>
      <c r="X154" s="70"/>
      <c r="Y154" s="95">
        <f>SUM(C154:X154)</f>
        <v>0</v>
      </c>
    </row>
    <row r="155" spans="1:25" ht="21" customHeight="1">
      <c r="A155" s="96">
        <v>220800</v>
      </c>
      <c r="B155" s="69" t="s">
        <v>181</v>
      </c>
      <c r="C155" s="70"/>
      <c r="D155" s="76"/>
      <c r="E155" s="76"/>
      <c r="F155" s="76"/>
      <c r="G155" s="76"/>
      <c r="H155" s="123"/>
      <c r="I155" s="76"/>
      <c r="J155" s="76"/>
      <c r="K155" s="76"/>
      <c r="L155" s="70"/>
      <c r="M155" s="76"/>
      <c r="N155" s="76"/>
      <c r="O155" s="165"/>
      <c r="P155" s="165"/>
      <c r="Q155" s="165"/>
      <c r="R155" s="76"/>
      <c r="S155" s="76"/>
      <c r="T155" s="76"/>
      <c r="U155" s="76"/>
      <c r="V155" s="76"/>
      <c r="W155" s="76"/>
      <c r="X155" s="76"/>
      <c r="Y155" s="95">
        <f>SUM(C155:X155)</f>
        <v>0</v>
      </c>
    </row>
    <row r="156" spans="1:25" ht="21" customHeight="1">
      <c r="A156" s="432" t="s">
        <v>388</v>
      </c>
      <c r="B156" s="433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67"/>
      <c r="P156" s="167"/>
      <c r="Q156" s="167"/>
      <c r="R156" s="100"/>
      <c r="S156" s="100"/>
      <c r="T156" s="100"/>
      <c r="U156" s="100"/>
      <c r="V156" s="100"/>
      <c r="W156" s="100"/>
      <c r="X156" s="100"/>
      <c r="Y156" s="101">
        <f t="shared" ref="Y156:Y161" si="46">SUM(C156:X156)</f>
        <v>0</v>
      </c>
    </row>
    <row r="157" spans="1:25" ht="21" customHeight="1">
      <c r="A157" s="93">
        <v>310100</v>
      </c>
      <c r="B157" s="68" t="s">
        <v>182</v>
      </c>
      <c r="C157" s="70"/>
      <c r="D157" s="70"/>
      <c r="E157" s="70"/>
      <c r="F157" s="70">
        <v>-20000</v>
      </c>
      <c r="G157" s="70"/>
      <c r="H157" s="70"/>
      <c r="I157" s="70"/>
      <c r="J157" s="70"/>
      <c r="K157" s="70"/>
      <c r="L157" s="70"/>
      <c r="M157" s="70"/>
      <c r="N157" s="70"/>
      <c r="O157" s="164"/>
      <c r="P157" s="164"/>
      <c r="Q157" s="164"/>
      <c r="R157" s="70"/>
      <c r="S157" s="70"/>
      <c r="T157" s="70"/>
      <c r="U157" s="70"/>
      <c r="V157" s="70"/>
      <c r="W157" s="70"/>
      <c r="X157" s="70"/>
      <c r="Y157" s="95">
        <f t="shared" si="46"/>
        <v>-20000</v>
      </c>
    </row>
    <row r="158" spans="1:25" ht="21" customHeight="1">
      <c r="A158" s="93">
        <v>310200</v>
      </c>
      <c r="B158" s="68" t="s">
        <v>183</v>
      </c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164"/>
      <c r="P158" s="164"/>
      <c r="Q158" s="164"/>
      <c r="R158" s="70"/>
      <c r="S158" s="70"/>
      <c r="T158" s="70"/>
      <c r="U158" s="70"/>
      <c r="V158" s="70"/>
      <c r="W158" s="70"/>
      <c r="X158" s="70"/>
      <c r="Y158" s="95">
        <f t="shared" si="46"/>
        <v>0</v>
      </c>
    </row>
    <row r="159" spans="1:25" ht="21" customHeight="1">
      <c r="A159" s="93">
        <v>310300</v>
      </c>
      <c r="B159" s="68" t="s">
        <v>184</v>
      </c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164"/>
      <c r="P159" s="164"/>
      <c r="Q159" s="164"/>
      <c r="R159" s="70"/>
      <c r="S159" s="70"/>
      <c r="T159" s="70"/>
      <c r="U159" s="70"/>
      <c r="V159" s="70"/>
      <c r="W159" s="70"/>
      <c r="X159" s="70"/>
      <c r="Y159" s="95">
        <f t="shared" si="46"/>
        <v>0</v>
      </c>
    </row>
    <row r="160" spans="1:25" ht="21" customHeight="1">
      <c r="A160" s="93">
        <v>310400</v>
      </c>
      <c r="B160" s="68" t="s">
        <v>185</v>
      </c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164"/>
      <c r="P160" s="164"/>
      <c r="Q160" s="164"/>
      <c r="R160" s="70"/>
      <c r="S160" s="70"/>
      <c r="T160" s="70"/>
      <c r="U160" s="70"/>
      <c r="V160" s="70"/>
      <c r="W160" s="70"/>
      <c r="X160" s="70"/>
      <c r="Y160" s="95">
        <f t="shared" si="46"/>
        <v>0</v>
      </c>
    </row>
    <row r="161" spans="1:25" ht="21" customHeight="1">
      <c r="A161" s="93">
        <v>310500</v>
      </c>
      <c r="B161" s="68" t="s">
        <v>409</v>
      </c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164"/>
      <c r="P161" s="164"/>
      <c r="Q161" s="164"/>
      <c r="R161" s="70"/>
      <c r="S161" s="70"/>
      <c r="T161" s="70"/>
      <c r="U161" s="70"/>
      <c r="V161" s="70"/>
      <c r="W161" s="70"/>
      <c r="X161" s="70"/>
      <c r="Y161" s="95">
        <f t="shared" si="46"/>
        <v>0</v>
      </c>
    </row>
    <row r="162" spans="1:25" ht="21" customHeight="1">
      <c r="A162" s="96">
        <v>310600</v>
      </c>
      <c r="B162" s="69" t="s">
        <v>187</v>
      </c>
      <c r="C162" s="70"/>
      <c r="D162" s="70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165"/>
      <c r="P162" s="165"/>
      <c r="Q162" s="165"/>
      <c r="R162" s="76"/>
      <c r="S162" s="76"/>
      <c r="T162" s="76"/>
      <c r="U162" s="76"/>
      <c r="V162" s="76"/>
      <c r="W162" s="76"/>
      <c r="X162" s="76"/>
      <c r="Y162" s="98">
        <f>SUM(C162:X162)</f>
        <v>0</v>
      </c>
    </row>
    <row r="163" spans="1:25" ht="21" customHeight="1">
      <c r="A163" s="96">
        <v>310700</v>
      </c>
      <c r="B163" s="69" t="s">
        <v>410</v>
      </c>
      <c r="C163" s="70"/>
      <c r="D163" s="70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165"/>
      <c r="P163" s="165"/>
      <c r="Q163" s="165"/>
      <c r="R163" s="76"/>
      <c r="S163" s="76"/>
      <c r="T163" s="76"/>
      <c r="U163" s="76"/>
      <c r="V163" s="76"/>
      <c r="W163" s="76"/>
      <c r="X163" s="76"/>
      <c r="Y163" s="98">
        <f>SUM(C163:X163)</f>
        <v>0</v>
      </c>
    </row>
    <row r="164" spans="1:25" ht="21" customHeight="1">
      <c r="A164" s="432" t="s">
        <v>389</v>
      </c>
      <c r="B164" s="433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67"/>
      <c r="P164" s="167"/>
      <c r="Q164" s="167"/>
      <c r="R164" s="100"/>
      <c r="S164" s="100"/>
      <c r="T164" s="100"/>
      <c r="U164" s="100"/>
      <c r="V164" s="100"/>
      <c r="W164" s="100"/>
      <c r="X164" s="100"/>
      <c r="Y164" s="101">
        <f t="shared" ref="Y164" si="47">SUM(C164:X164)</f>
        <v>0</v>
      </c>
    </row>
    <row r="165" spans="1:25" ht="21" customHeight="1">
      <c r="A165" s="93">
        <v>320100</v>
      </c>
      <c r="B165" s="68" t="s">
        <v>188</v>
      </c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164"/>
      <c r="P165" s="164"/>
      <c r="Q165" s="164"/>
      <c r="R165" s="70"/>
      <c r="S165" s="70"/>
      <c r="T165" s="70"/>
      <c r="U165" s="70"/>
      <c r="V165" s="70"/>
      <c r="W165" s="70"/>
      <c r="X165" s="70"/>
      <c r="Y165" s="95">
        <f t="shared" ref="Y165:Y170" si="48">SUM(C165:X165)</f>
        <v>0</v>
      </c>
    </row>
    <row r="166" spans="1:25" ht="21" customHeight="1">
      <c r="A166" s="93">
        <v>320200</v>
      </c>
      <c r="B166" s="68" t="s">
        <v>189</v>
      </c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164"/>
      <c r="P166" s="164"/>
      <c r="Q166" s="164"/>
      <c r="R166" s="70"/>
      <c r="S166" s="70"/>
      <c r="T166" s="70"/>
      <c r="U166" s="70"/>
      <c r="V166" s="70"/>
      <c r="W166" s="70"/>
      <c r="X166" s="70"/>
      <c r="Y166" s="95">
        <f t="shared" si="48"/>
        <v>0</v>
      </c>
    </row>
    <row r="167" spans="1:25" ht="21" customHeight="1">
      <c r="A167" s="93">
        <v>320300</v>
      </c>
      <c r="B167" s="68" t="s">
        <v>190</v>
      </c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164"/>
      <c r="P167" s="164"/>
      <c r="Q167" s="164"/>
      <c r="R167" s="70"/>
      <c r="S167" s="70"/>
      <c r="T167" s="70"/>
      <c r="U167" s="70"/>
      <c r="V167" s="70"/>
      <c r="W167" s="70"/>
      <c r="X167" s="70"/>
      <c r="Y167" s="95">
        <f t="shared" si="48"/>
        <v>0</v>
      </c>
    </row>
    <row r="168" spans="1:25" ht="21" customHeight="1">
      <c r="A168" s="96">
        <v>320400</v>
      </c>
      <c r="B168" s="69" t="s">
        <v>191</v>
      </c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165"/>
      <c r="P168" s="165"/>
      <c r="Q168" s="165"/>
      <c r="R168" s="76"/>
      <c r="S168" s="76"/>
      <c r="T168" s="76"/>
      <c r="U168" s="76"/>
      <c r="V168" s="76"/>
      <c r="W168" s="76"/>
      <c r="X168" s="76"/>
      <c r="Y168" s="95">
        <f t="shared" si="48"/>
        <v>0</v>
      </c>
    </row>
    <row r="169" spans="1:25" ht="21" customHeight="1">
      <c r="A169" s="432" t="s">
        <v>390</v>
      </c>
      <c r="B169" s="433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67"/>
      <c r="P169" s="167"/>
      <c r="Q169" s="167"/>
      <c r="R169" s="100"/>
      <c r="S169" s="100"/>
      <c r="T169" s="100"/>
      <c r="U169" s="100"/>
      <c r="V169" s="100"/>
      <c r="W169" s="100"/>
      <c r="X169" s="100"/>
      <c r="Y169" s="101">
        <f t="shared" si="48"/>
        <v>0</v>
      </c>
    </row>
    <row r="170" spans="1:25" ht="21" customHeight="1">
      <c r="A170" s="93">
        <v>330100</v>
      </c>
      <c r="B170" s="68" t="s">
        <v>192</v>
      </c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164"/>
      <c r="P170" s="164"/>
      <c r="Q170" s="164"/>
      <c r="R170" s="70"/>
      <c r="S170" s="70"/>
      <c r="T170" s="70"/>
      <c r="U170" s="70"/>
      <c r="V170" s="70"/>
      <c r="W170" s="70"/>
      <c r="X170" s="70"/>
      <c r="Y170" s="95">
        <f t="shared" si="48"/>
        <v>0</v>
      </c>
    </row>
    <row r="171" spans="1:25" ht="21" customHeight="1">
      <c r="A171" s="93">
        <v>330200</v>
      </c>
      <c r="B171" s="68" t="s">
        <v>193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164"/>
      <c r="P171" s="164"/>
      <c r="Q171" s="164"/>
      <c r="R171" s="70"/>
      <c r="S171" s="70"/>
      <c r="T171" s="70"/>
      <c r="U171" s="70"/>
      <c r="V171" s="70"/>
      <c r="W171" s="70"/>
      <c r="X171" s="70"/>
      <c r="Y171" s="95">
        <f t="shared" ref="Y171:Y175" si="49">SUM(C171:X171)</f>
        <v>0</v>
      </c>
    </row>
    <row r="172" spans="1:25" ht="21" customHeight="1">
      <c r="A172" s="93">
        <v>330300</v>
      </c>
      <c r="B172" s="68" t="s">
        <v>235</v>
      </c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164"/>
      <c r="P172" s="164"/>
      <c r="Q172" s="164"/>
      <c r="R172" s="70"/>
      <c r="S172" s="70"/>
      <c r="T172" s="70"/>
      <c r="U172" s="70"/>
      <c r="V172" s="70"/>
      <c r="W172" s="70"/>
      <c r="X172" s="70"/>
      <c r="Y172" s="95">
        <f t="shared" si="49"/>
        <v>0</v>
      </c>
    </row>
    <row r="173" spans="1:25" ht="21" customHeight="1">
      <c r="A173" s="93">
        <v>330400</v>
      </c>
      <c r="B173" s="68" t="s">
        <v>210</v>
      </c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164"/>
      <c r="P173" s="164"/>
      <c r="Q173" s="164"/>
      <c r="R173" s="70"/>
      <c r="S173" s="70"/>
      <c r="T173" s="70"/>
      <c r="U173" s="70"/>
      <c r="V173" s="70"/>
      <c r="W173" s="70"/>
      <c r="X173" s="70"/>
      <c r="Y173" s="95">
        <f t="shared" si="49"/>
        <v>0</v>
      </c>
    </row>
    <row r="174" spans="1:25" ht="21" customHeight="1">
      <c r="A174" s="93">
        <v>330600</v>
      </c>
      <c r="B174" s="68" t="s">
        <v>194</v>
      </c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164"/>
      <c r="P174" s="164"/>
      <c r="Q174" s="164"/>
      <c r="R174" s="70"/>
      <c r="S174" s="70"/>
      <c r="T174" s="70"/>
      <c r="U174" s="70"/>
      <c r="V174" s="70"/>
      <c r="W174" s="70"/>
      <c r="X174" s="70"/>
      <c r="Y174" s="95">
        <f t="shared" si="49"/>
        <v>0</v>
      </c>
    </row>
    <row r="175" spans="1:25" ht="21" customHeight="1">
      <c r="A175" s="93">
        <v>330700</v>
      </c>
      <c r="B175" s="68" t="s">
        <v>310</v>
      </c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164"/>
      <c r="P175" s="164"/>
      <c r="Q175" s="164"/>
      <c r="R175" s="70"/>
      <c r="S175" s="70"/>
      <c r="T175" s="70"/>
      <c r="U175" s="70"/>
      <c r="V175" s="70"/>
      <c r="W175" s="70"/>
      <c r="X175" s="70"/>
      <c r="Y175" s="95">
        <f t="shared" si="49"/>
        <v>0</v>
      </c>
    </row>
    <row r="176" spans="1:25" ht="21" customHeight="1">
      <c r="A176" s="93">
        <v>330800</v>
      </c>
      <c r="B176" s="68" t="s">
        <v>195</v>
      </c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164"/>
      <c r="P176" s="164"/>
      <c r="Q176" s="164"/>
      <c r="R176" s="70"/>
      <c r="S176" s="70"/>
      <c r="T176" s="70"/>
      <c r="U176" s="70"/>
      <c r="V176" s="70"/>
      <c r="W176" s="70"/>
      <c r="X176" s="70"/>
      <c r="Y176" s="95">
        <f>SUM(C176:X176)</f>
        <v>0</v>
      </c>
    </row>
    <row r="177" spans="1:25" ht="21" customHeight="1">
      <c r="A177" s="93">
        <v>330900</v>
      </c>
      <c r="B177" s="68" t="s">
        <v>197</v>
      </c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164"/>
      <c r="P177" s="164"/>
      <c r="Q177" s="164"/>
      <c r="R177" s="70"/>
      <c r="S177" s="70"/>
      <c r="T177" s="70"/>
      <c r="U177" s="70"/>
      <c r="V177" s="70"/>
      <c r="W177" s="70"/>
      <c r="X177" s="70"/>
      <c r="Y177" s="95">
        <f t="shared" ref="Y177" si="50">SUM(C177:X177)</f>
        <v>0</v>
      </c>
    </row>
    <row r="178" spans="1:25" ht="21" customHeight="1">
      <c r="A178" s="435" t="s">
        <v>139</v>
      </c>
      <c r="B178" s="435"/>
      <c r="C178" s="434" t="s">
        <v>141</v>
      </c>
      <c r="D178" s="434"/>
      <c r="E178" s="437" t="s">
        <v>144</v>
      </c>
      <c r="F178" s="438"/>
      <c r="G178" s="434" t="s">
        <v>146</v>
      </c>
      <c r="H178" s="435"/>
      <c r="I178" s="437" t="s">
        <v>160</v>
      </c>
      <c r="J178" s="438"/>
      <c r="K178" s="326" t="s">
        <v>161</v>
      </c>
      <c r="L178" s="437" t="s">
        <v>162</v>
      </c>
      <c r="M178" s="439"/>
      <c r="N178" s="439"/>
      <c r="O178" s="438"/>
      <c r="P178" s="437" t="s">
        <v>163</v>
      </c>
      <c r="Q178" s="438"/>
      <c r="R178" s="437" t="s">
        <v>164</v>
      </c>
      <c r="S178" s="439"/>
      <c r="T178" s="438"/>
      <c r="U178" s="434" t="s">
        <v>165</v>
      </c>
      <c r="V178" s="435"/>
      <c r="W178" s="326" t="s">
        <v>212</v>
      </c>
      <c r="X178" s="326" t="s">
        <v>166</v>
      </c>
      <c r="Y178" s="436" t="s">
        <v>17</v>
      </c>
    </row>
    <row r="179" spans="1:25" ht="21" customHeight="1">
      <c r="A179" s="435" t="s">
        <v>140</v>
      </c>
      <c r="B179" s="435"/>
      <c r="C179" s="326" t="s">
        <v>142</v>
      </c>
      <c r="D179" s="326" t="s">
        <v>143</v>
      </c>
      <c r="E179" s="326" t="s">
        <v>145</v>
      </c>
      <c r="F179" s="326" t="s">
        <v>214</v>
      </c>
      <c r="G179" s="326" t="s">
        <v>147</v>
      </c>
      <c r="H179" s="326" t="s">
        <v>148</v>
      </c>
      <c r="I179" s="326" t="s">
        <v>149</v>
      </c>
      <c r="J179" s="326" t="s">
        <v>150</v>
      </c>
      <c r="K179" s="326" t="s">
        <v>151</v>
      </c>
      <c r="L179" s="326" t="s">
        <v>152</v>
      </c>
      <c r="M179" s="326" t="s">
        <v>153</v>
      </c>
      <c r="N179" s="326" t="s">
        <v>238</v>
      </c>
      <c r="O179" s="326" t="s">
        <v>331</v>
      </c>
      <c r="P179" s="327" t="s">
        <v>303</v>
      </c>
      <c r="Q179" s="327" t="s">
        <v>154</v>
      </c>
      <c r="R179" s="326" t="s">
        <v>155</v>
      </c>
      <c r="S179" s="326" t="s">
        <v>156</v>
      </c>
      <c r="T179" s="326" t="s">
        <v>216</v>
      </c>
      <c r="U179" s="326" t="s">
        <v>157</v>
      </c>
      <c r="V179" s="326" t="s">
        <v>158</v>
      </c>
      <c r="W179" s="326" t="s">
        <v>213</v>
      </c>
      <c r="X179" s="326" t="s">
        <v>159</v>
      </c>
      <c r="Y179" s="436"/>
    </row>
    <row r="180" spans="1:25" ht="21" customHeight="1">
      <c r="A180" s="224">
        <v>331000</v>
      </c>
      <c r="B180" s="227" t="s">
        <v>300</v>
      </c>
      <c r="C180" s="228"/>
      <c r="D180" s="225"/>
      <c r="E180" s="225"/>
      <c r="F180" s="225"/>
      <c r="G180" s="225"/>
      <c r="H180" s="225"/>
      <c r="I180" s="225"/>
      <c r="J180" s="225"/>
      <c r="K180" s="225"/>
      <c r="L180" s="225"/>
      <c r="M180" s="225"/>
      <c r="N180" s="225"/>
      <c r="O180" s="226"/>
      <c r="P180" s="226"/>
      <c r="Q180" s="226"/>
      <c r="R180" s="225"/>
      <c r="S180" s="225"/>
      <c r="T180" s="225"/>
      <c r="U180" s="225"/>
      <c r="V180" s="225"/>
      <c r="W180" s="225"/>
      <c r="X180" s="225"/>
      <c r="Y180" s="95">
        <f>SUM(C180:X180)</f>
        <v>0</v>
      </c>
    </row>
    <row r="181" spans="1:25" ht="21" customHeight="1">
      <c r="A181" s="93">
        <v>331200</v>
      </c>
      <c r="B181" s="68" t="s">
        <v>198</v>
      </c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164"/>
      <c r="P181" s="164"/>
      <c r="Q181" s="164"/>
      <c r="R181" s="70"/>
      <c r="S181" s="70"/>
      <c r="T181" s="70"/>
      <c r="U181" s="70"/>
      <c r="V181" s="70"/>
      <c r="W181" s="70"/>
      <c r="X181" s="70"/>
      <c r="Y181" s="95">
        <f>SUM(C181:X181)</f>
        <v>0</v>
      </c>
    </row>
    <row r="182" spans="1:25" ht="21" customHeight="1">
      <c r="A182" s="93">
        <v>331300</v>
      </c>
      <c r="B182" s="68" t="s">
        <v>199</v>
      </c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164"/>
      <c r="P182" s="164"/>
      <c r="Q182" s="164"/>
      <c r="R182" s="70"/>
      <c r="S182" s="70"/>
      <c r="T182" s="70"/>
      <c r="U182" s="70"/>
      <c r="V182" s="70"/>
      <c r="W182" s="70"/>
      <c r="X182" s="70"/>
      <c r="Y182" s="95">
        <f t="shared" ref="Y182:Y185" si="51">SUM(C182:X182)</f>
        <v>0</v>
      </c>
    </row>
    <row r="183" spans="1:25" ht="21" customHeight="1">
      <c r="A183" s="93">
        <v>331400</v>
      </c>
      <c r="B183" s="68" t="s">
        <v>196</v>
      </c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164"/>
      <c r="P183" s="164"/>
      <c r="Q183" s="164"/>
      <c r="R183" s="70"/>
      <c r="S183" s="70"/>
      <c r="T183" s="70"/>
      <c r="U183" s="70"/>
      <c r="V183" s="70"/>
      <c r="W183" s="70"/>
      <c r="X183" s="70"/>
      <c r="Y183" s="95">
        <f t="shared" si="51"/>
        <v>0</v>
      </c>
    </row>
    <row r="184" spans="1:25" ht="21" customHeight="1">
      <c r="A184" s="93">
        <v>331500</v>
      </c>
      <c r="B184" s="68" t="s">
        <v>200</v>
      </c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164"/>
      <c r="P184" s="164"/>
      <c r="Q184" s="164"/>
      <c r="R184" s="70"/>
      <c r="S184" s="70"/>
      <c r="T184" s="70"/>
      <c r="U184" s="70"/>
      <c r="V184" s="70"/>
      <c r="W184" s="70"/>
      <c r="X184" s="70"/>
      <c r="Y184" s="95">
        <f t="shared" si="51"/>
        <v>0</v>
      </c>
    </row>
    <row r="185" spans="1:25" ht="21" customHeight="1">
      <c r="A185" s="96">
        <v>331700</v>
      </c>
      <c r="B185" s="69" t="s">
        <v>201</v>
      </c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165"/>
      <c r="P185" s="165"/>
      <c r="Q185" s="165"/>
      <c r="R185" s="76"/>
      <c r="S185" s="76"/>
      <c r="T185" s="76"/>
      <c r="U185" s="76"/>
      <c r="V185" s="76"/>
      <c r="W185" s="76"/>
      <c r="X185" s="76"/>
      <c r="Y185" s="95">
        <f t="shared" si="51"/>
        <v>0</v>
      </c>
    </row>
    <row r="186" spans="1:25" ht="21" customHeight="1">
      <c r="A186" s="432" t="s">
        <v>391</v>
      </c>
      <c r="B186" s="433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67"/>
      <c r="P186" s="167"/>
      <c r="Q186" s="167"/>
      <c r="R186" s="100"/>
      <c r="S186" s="100"/>
      <c r="T186" s="100"/>
      <c r="U186" s="100"/>
      <c r="V186" s="100"/>
      <c r="W186" s="100"/>
      <c r="X186" s="100"/>
      <c r="Y186" s="101">
        <f t="shared" ref="Y186" si="52">SUM(C186:X186)</f>
        <v>0</v>
      </c>
    </row>
    <row r="187" spans="1:25" ht="21" customHeight="1">
      <c r="A187" s="93">
        <v>340100</v>
      </c>
      <c r="B187" s="68" t="s">
        <v>202</v>
      </c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164"/>
      <c r="P187" s="164"/>
      <c r="Q187" s="164"/>
      <c r="R187" s="70"/>
      <c r="S187" s="70"/>
      <c r="T187" s="70"/>
      <c r="U187" s="70"/>
      <c r="V187" s="70"/>
      <c r="W187" s="70"/>
      <c r="X187" s="70"/>
      <c r="Y187" s="95">
        <f>SUM(C187:X187)</f>
        <v>0</v>
      </c>
    </row>
    <row r="188" spans="1:25" ht="21" customHeight="1">
      <c r="A188" s="93">
        <v>340300</v>
      </c>
      <c r="B188" s="68" t="s">
        <v>203</v>
      </c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164"/>
      <c r="P188" s="164"/>
      <c r="Q188" s="164"/>
      <c r="R188" s="70"/>
      <c r="S188" s="70"/>
      <c r="T188" s="70"/>
      <c r="U188" s="70"/>
      <c r="V188" s="70"/>
      <c r="W188" s="70"/>
      <c r="X188" s="70"/>
      <c r="Y188" s="95">
        <f t="shared" ref="Y188:Y190" si="53">SUM(C188:X188)</f>
        <v>0</v>
      </c>
    </row>
    <row r="189" spans="1:25" ht="21" customHeight="1">
      <c r="A189" s="93">
        <v>340400</v>
      </c>
      <c r="B189" s="68" t="s">
        <v>204</v>
      </c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164"/>
      <c r="P189" s="164"/>
      <c r="Q189" s="164"/>
      <c r="R189" s="70"/>
      <c r="S189" s="70"/>
      <c r="T189" s="70"/>
      <c r="U189" s="70"/>
      <c r="V189" s="70"/>
      <c r="W189" s="70"/>
      <c r="X189" s="70"/>
      <c r="Y189" s="95">
        <f t="shared" si="53"/>
        <v>0</v>
      </c>
    </row>
    <row r="190" spans="1:25" ht="21" customHeight="1">
      <c r="A190" s="96">
        <v>340500</v>
      </c>
      <c r="B190" s="69" t="s">
        <v>205</v>
      </c>
      <c r="C190" s="70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165"/>
      <c r="P190" s="165"/>
      <c r="Q190" s="165"/>
      <c r="R190" s="76"/>
      <c r="S190" s="76"/>
      <c r="T190" s="76"/>
      <c r="U190" s="76"/>
      <c r="V190" s="76"/>
      <c r="W190" s="76"/>
      <c r="X190" s="76"/>
      <c r="Y190" s="98">
        <f t="shared" si="53"/>
        <v>0</v>
      </c>
    </row>
    <row r="191" spans="1:25" ht="21" customHeight="1">
      <c r="A191" s="432" t="s">
        <v>392</v>
      </c>
      <c r="B191" s="433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67"/>
      <c r="P191" s="167"/>
      <c r="Q191" s="167"/>
      <c r="R191" s="100"/>
      <c r="S191" s="100"/>
      <c r="T191" s="100"/>
      <c r="U191" s="100"/>
      <c r="V191" s="100"/>
      <c r="W191" s="100"/>
      <c r="X191" s="100"/>
      <c r="Y191" s="101">
        <f t="shared" ref="Y191:Y203" si="54">SUM(C191:X191)</f>
        <v>0</v>
      </c>
    </row>
    <row r="192" spans="1:25" ht="21" customHeight="1">
      <c r="A192" s="93">
        <v>410400</v>
      </c>
      <c r="B192" s="68" t="s">
        <v>206</v>
      </c>
      <c r="C192" s="70">
        <v>9900</v>
      </c>
      <c r="D192" s="70"/>
      <c r="E192" s="70"/>
      <c r="F192" s="70">
        <v>26000</v>
      </c>
      <c r="G192" s="70"/>
      <c r="H192" s="70"/>
      <c r="I192" s="70"/>
      <c r="J192" s="70"/>
      <c r="K192" s="70"/>
      <c r="L192" s="70"/>
      <c r="M192" s="70"/>
      <c r="N192" s="70"/>
      <c r="O192" s="164"/>
      <c r="P192" s="164"/>
      <c r="Q192" s="164"/>
      <c r="R192" s="70"/>
      <c r="S192" s="70"/>
      <c r="T192" s="70"/>
      <c r="U192" s="70"/>
      <c r="V192" s="70"/>
      <c r="W192" s="70"/>
      <c r="X192" s="70"/>
      <c r="Y192" s="95">
        <f t="shared" si="54"/>
        <v>35900</v>
      </c>
    </row>
    <row r="193" spans="1:25" ht="21" hidden="1" customHeight="1">
      <c r="A193" s="93">
        <v>410200</v>
      </c>
      <c r="B193" s="68" t="s">
        <v>224</v>
      </c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164"/>
      <c r="P193" s="164"/>
      <c r="Q193" s="164"/>
      <c r="R193" s="70"/>
      <c r="S193" s="70"/>
      <c r="T193" s="70"/>
      <c r="U193" s="70"/>
      <c r="V193" s="70"/>
      <c r="W193" s="70"/>
      <c r="X193" s="70"/>
      <c r="Y193" s="95">
        <f t="shared" si="54"/>
        <v>0</v>
      </c>
    </row>
    <row r="194" spans="1:25" ht="21" hidden="1" customHeight="1">
      <c r="A194" s="93">
        <v>410300</v>
      </c>
      <c r="B194" s="68" t="s">
        <v>207</v>
      </c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164"/>
      <c r="P194" s="164"/>
      <c r="Q194" s="164"/>
      <c r="R194" s="70"/>
      <c r="S194" s="70"/>
      <c r="T194" s="70"/>
      <c r="U194" s="70"/>
      <c r="V194" s="70"/>
      <c r="W194" s="70"/>
      <c r="X194" s="70"/>
      <c r="Y194" s="95">
        <f t="shared" si="54"/>
        <v>0</v>
      </c>
    </row>
    <row r="195" spans="1:25" ht="21" hidden="1" customHeight="1">
      <c r="A195" s="93">
        <v>410400</v>
      </c>
      <c r="B195" s="68" t="s">
        <v>225</v>
      </c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165"/>
      <c r="P195" s="165"/>
      <c r="Q195" s="165"/>
      <c r="R195" s="76"/>
      <c r="S195" s="76"/>
      <c r="T195" s="76"/>
      <c r="U195" s="76"/>
      <c r="V195" s="76"/>
      <c r="W195" s="76"/>
      <c r="X195" s="76"/>
      <c r="Y195" s="95">
        <f t="shared" si="54"/>
        <v>0</v>
      </c>
    </row>
    <row r="196" spans="1:25" ht="21" hidden="1" customHeight="1">
      <c r="A196" s="93">
        <v>410500</v>
      </c>
      <c r="B196" s="68" t="s">
        <v>226</v>
      </c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165"/>
      <c r="P196" s="165"/>
      <c r="Q196" s="165"/>
      <c r="R196" s="76"/>
      <c r="S196" s="76"/>
      <c r="T196" s="76"/>
      <c r="U196" s="76"/>
      <c r="V196" s="76"/>
      <c r="W196" s="76"/>
      <c r="X196" s="76"/>
      <c r="Y196" s="95">
        <f t="shared" si="54"/>
        <v>0</v>
      </c>
    </row>
    <row r="197" spans="1:25" ht="21" hidden="1" customHeight="1">
      <c r="A197" s="93">
        <v>410600</v>
      </c>
      <c r="B197" s="68" t="s">
        <v>227</v>
      </c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165"/>
      <c r="P197" s="165"/>
      <c r="Q197" s="165"/>
      <c r="R197" s="76"/>
      <c r="S197" s="76"/>
      <c r="T197" s="76"/>
      <c r="U197" s="76"/>
      <c r="V197" s="76"/>
      <c r="W197" s="76"/>
      <c r="X197" s="76"/>
      <c r="Y197" s="95">
        <f t="shared" si="54"/>
        <v>0</v>
      </c>
    </row>
    <row r="198" spans="1:25" ht="21" hidden="1" customHeight="1">
      <c r="A198" s="93">
        <v>410700</v>
      </c>
      <c r="B198" s="68" t="s">
        <v>208</v>
      </c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164"/>
      <c r="P198" s="164"/>
      <c r="Q198" s="164"/>
      <c r="R198" s="70"/>
      <c r="S198" s="70"/>
      <c r="T198" s="70"/>
      <c r="U198" s="70"/>
      <c r="V198" s="70"/>
      <c r="W198" s="70"/>
      <c r="X198" s="70"/>
      <c r="Y198" s="95">
        <f t="shared" si="54"/>
        <v>0</v>
      </c>
    </row>
    <row r="199" spans="1:25" ht="21" hidden="1" customHeight="1">
      <c r="A199" s="93">
        <v>410800</v>
      </c>
      <c r="B199" s="68" t="s">
        <v>228</v>
      </c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165"/>
      <c r="P199" s="165"/>
      <c r="Q199" s="165"/>
      <c r="R199" s="76"/>
      <c r="S199" s="76"/>
      <c r="T199" s="76"/>
      <c r="U199" s="76"/>
      <c r="V199" s="76"/>
      <c r="W199" s="76"/>
      <c r="X199" s="76"/>
      <c r="Y199" s="95">
        <f t="shared" si="54"/>
        <v>0</v>
      </c>
    </row>
    <row r="200" spans="1:25" ht="21" hidden="1" customHeight="1">
      <c r="A200" s="93">
        <v>410900</v>
      </c>
      <c r="B200" s="68" t="s">
        <v>243</v>
      </c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165"/>
      <c r="P200" s="165"/>
      <c r="Q200" s="165"/>
      <c r="R200" s="76"/>
      <c r="S200" s="76"/>
      <c r="T200" s="76"/>
      <c r="U200" s="76"/>
      <c r="V200" s="76"/>
      <c r="W200" s="76"/>
      <c r="X200" s="76"/>
      <c r="Y200" s="95">
        <f t="shared" si="54"/>
        <v>0</v>
      </c>
    </row>
    <row r="201" spans="1:25" ht="21" hidden="1" customHeight="1">
      <c r="A201" s="93">
        <v>411000</v>
      </c>
      <c r="B201" s="68" t="s">
        <v>295</v>
      </c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165"/>
      <c r="P201" s="165"/>
      <c r="Q201" s="165"/>
      <c r="R201" s="76"/>
      <c r="S201" s="76"/>
      <c r="T201" s="76"/>
      <c r="U201" s="76"/>
      <c r="V201" s="76"/>
      <c r="W201" s="76"/>
      <c r="X201" s="76"/>
      <c r="Y201" s="95">
        <f t="shared" si="54"/>
        <v>0</v>
      </c>
    </row>
    <row r="202" spans="1:25" ht="21" hidden="1" customHeight="1">
      <c r="A202" s="93">
        <v>411100</v>
      </c>
      <c r="B202" s="68" t="s">
        <v>260</v>
      </c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165"/>
      <c r="P202" s="165"/>
      <c r="Q202" s="165"/>
      <c r="R202" s="76"/>
      <c r="S202" s="76"/>
      <c r="T202" s="76"/>
      <c r="U202" s="76"/>
      <c r="V202" s="76"/>
      <c r="W202" s="76"/>
      <c r="X202" s="76"/>
      <c r="Y202" s="95">
        <f t="shared" si="54"/>
        <v>0</v>
      </c>
    </row>
    <row r="203" spans="1:25" ht="21" hidden="1" customHeight="1">
      <c r="A203" s="93">
        <v>411300</v>
      </c>
      <c r="B203" s="68" t="s">
        <v>296</v>
      </c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165"/>
      <c r="P203" s="165"/>
      <c r="Q203" s="165"/>
      <c r="R203" s="76"/>
      <c r="S203" s="76"/>
      <c r="T203" s="76"/>
      <c r="U203" s="76"/>
      <c r="V203" s="76"/>
      <c r="W203" s="76"/>
      <c r="X203" s="76"/>
      <c r="Y203" s="95">
        <f t="shared" si="54"/>
        <v>0</v>
      </c>
    </row>
    <row r="204" spans="1:25" ht="21" hidden="1" customHeight="1">
      <c r="A204" s="93">
        <v>411600</v>
      </c>
      <c r="B204" s="68" t="s">
        <v>229</v>
      </c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164"/>
      <c r="P204" s="164"/>
      <c r="Q204" s="164"/>
      <c r="R204" s="70"/>
      <c r="S204" s="70"/>
      <c r="T204" s="70"/>
      <c r="U204" s="70"/>
      <c r="V204" s="70"/>
      <c r="W204" s="70"/>
      <c r="X204" s="70"/>
      <c r="Y204" s="95">
        <f>SUM(C204:X204)</f>
        <v>0</v>
      </c>
    </row>
    <row r="205" spans="1:25" ht="21" customHeight="1">
      <c r="A205" s="93">
        <v>411800</v>
      </c>
      <c r="B205" s="68" t="s">
        <v>209</v>
      </c>
      <c r="C205" s="70">
        <v>-15900</v>
      </c>
      <c r="D205" s="70"/>
      <c r="E205" s="70"/>
      <c r="F205" s="70"/>
      <c r="G205" s="70">
        <v>0</v>
      </c>
      <c r="H205" s="70"/>
      <c r="I205" s="70"/>
      <c r="J205" s="70"/>
      <c r="K205" s="70"/>
      <c r="L205" s="70"/>
      <c r="M205" s="70"/>
      <c r="N205" s="70"/>
      <c r="O205" s="164"/>
      <c r="P205" s="164"/>
      <c r="Q205" s="164"/>
      <c r="R205" s="70"/>
      <c r="S205" s="70"/>
      <c r="T205" s="70"/>
      <c r="U205" s="70"/>
      <c r="V205" s="70"/>
      <c r="W205" s="70">
        <v>0</v>
      </c>
      <c r="X205" s="70"/>
      <c r="Y205" s="95">
        <f>SUM(C205:X205)</f>
        <v>-15900</v>
      </c>
    </row>
    <row r="206" spans="1:25" ht="21" customHeight="1">
      <c r="A206" s="435" t="s">
        <v>139</v>
      </c>
      <c r="B206" s="435"/>
      <c r="C206" s="434" t="s">
        <v>141</v>
      </c>
      <c r="D206" s="434"/>
      <c r="E206" s="437" t="s">
        <v>144</v>
      </c>
      <c r="F206" s="438"/>
      <c r="G206" s="434" t="s">
        <v>146</v>
      </c>
      <c r="H206" s="435"/>
      <c r="I206" s="437" t="s">
        <v>160</v>
      </c>
      <c r="J206" s="438"/>
      <c r="K206" s="326" t="s">
        <v>161</v>
      </c>
      <c r="L206" s="437" t="s">
        <v>162</v>
      </c>
      <c r="M206" s="439"/>
      <c r="N206" s="439"/>
      <c r="O206" s="438"/>
      <c r="P206" s="437" t="s">
        <v>163</v>
      </c>
      <c r="Q206" s="438"/>
      <c r="R206" s="437" t="s">
        <v>164</v>
      </c>
      <c r="S206" s="439"/>
      <c r="T206" s="438"/>
      <c r="U206" s="434" t="s">
        <v>165</v>
      </c>
      <c r="V206" s="435"/>
      <c r="W206" s="326" t="s">
        <v>212</v>
      </c>
      <c r="X206" s="326" t="s">
        <v>166</v>
      </c>
      <c r="Y206" s="436" t="s">
        <v>17</v>
      </c>
    </row>
    <row r="207" spans="1:25" ht="21" customHeight="1">
      <c r="A207" s="435" t="s">
        <v>140</v>
      </c>
      <c r="B207" s="435"/>
      <c r="C207" s="326" t="s">
        <v>142</v>
      </c>
      <c r="D207" s="326" t="s">
        <v>143</v>
      </c>
      <c r="E207" s="326" t="s">
        <v>145</v>
      </c>
      <c r="F207" s="326" t="s">
        <v>214</v>
      </c>
      <c r="G207" s="326" t="s">
        <v>147</v>
      </c>
      <c r="H207" s="326" t="s">
        <v>148</v>
      </c>
      <c r="I207" s="326" t="s">
        <v>149</v>
      </c>
      <c r="J207" s="326" t="s">
        <v>150</v>
      </c>
      <c r="K207" s="326" t="s">
        <v>151</v>
      </c>
      <c r="L207" s="326" t="s">
        <v>152</v>
      </c>
      <c r="M207" s="326" t="s">
        <v>153</v>
      </c>
      <c r="N207" s="326" t="s">
        <v>238</v>
      </c>
      <c r="O207" s="269" t="s">
        <v>331</v>
      </c>
      <c r="P207" s="327" t="s">
        <v>303</v>
      </c>
      <c r="Q207" s="327" t="s">
        <v>154</v>
      </c>
      <c r="R207" s="326" t="s">
        <v>155</v>
      </c>
      <c r="S207" s="326" t="s">
        <v>156</v>
      </c>
      <c r="T207" s="326" t="s">
        <v>216</v>
      </c>
      <c r="U207" s="326" t="s">
        <v>157</v>
      </c>
      <c r="V207" s="326" t="s">
        <v>158</v>
      </c>
      <c r="W207" s="326" t="s">
        <v>213</v>
      </c>
      <c r="X207" s="326" t="s">
        <v>159</v>
      </c>
      <c r="Y207" s="436"/>
    </row>
    <row r="208" spans="1:25" ht="21" customHeight="1">
      <c r="A208" s="432" t="s">
        <v>393</v>
      </c>
      <c r="B208" s="433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67"/>
      <c r="P208" s="167"/>
      <c r="Q208" s="167"/>
      <c r="R208" s="100"/>
      <c r="S208" s="100"/>
      <c r="T208" s="100"/>
      <c r="U208" s="100"/>
      <c r="V208" s="100"/>
      <c r="W208" s="100"/>
      <c r="X208" s="100"/>
      <c r="Y208" s="101">
        <f>SUM(C208:X208)</f>
        <v>0</v>
      </c>
    </row>
    <row r="209" spans="1:25" ht="21" customHeight="1">
      <c r="A209" s="93">
        <v>420700</v>
      </c>
      <c r="B209" s="94" t="s">
        <v>394</v>
      </c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164"/>
      <c r="P209" s="164"/>
      <c r="Q209" s="164"/>
      <c r="R209" s="70"/>
      <c r="S209" s="70"/>
      <c r="T209" s="70"/>
      <c r="U209" s="70"/>
      <c r="V209" s="70"/>
      <c r="W209" s="70"/>
      <c r="X209" s="70"/>
      <c r="Y209" s="95">
        <f>SUM(C209:X209)</f>
        <v>0</v>
      </c>
    </row>
    <row r="210" spans="1:25" ht="21" customHeight="1">
      <c r="A210" s="96">
        <v>421000</v>
      </c>
      <c r="B210" s="97" t="s">
        <v>395</v>
      </c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165"/>
      <c r="P210" s="165"/>
      <c r="Q210" s="165"/>
      <c r="R210" s="76"/>
      <c r="S210" s="76"/>
      <c r="T210" s="76"/>
      <c r="U210" s="76"/>
      <c r="V210" s="76"/>
      <c r="W210" s="76"/>
      <c r="X210" s="76"/>
      <c r="Y210" s="95">
        <f t="shared" ref="Y210:Y211" si="55">SUM(C210:X210)</f>
        <v>0</v>
      </c>
    </row>
    <row r="211" spans="1:25" ht="21" customHeight="1">
      <c r="A211" s="96">
        <v>421100</v>
      </c>
      <c r="B211" s="97" t="s">
        <v>211</v>
      </c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165"/>
      <c r="P211" s="165"/>
      <c r="Q211" s="165"/>
      <c r="R211" s="76"/>
      <c r="S211" s="76"/>
      <c r="T211" s="76"/>
      <c r="U211" s="76"/>
      <c r="V211" s="76"/>
      <c r="W211" s="76"/>
      <c r="X211" s="76"/>
      <c r="Y211" s="95">
        <f t="shared" si="55"/>
        <v>0</v>
      </c>
    </row>
    <row r="212" spans="1:25" ht="21" customHeight="1">
      <c r="A212" s="432" t="s">
        <v>397</v>
      </c>
      <c r="B212" s="433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67"/>
      <c r="P212" s="167"/>
      <c r="Q212" s="167"/>
      <c r="R212" s="100"/>
      <c r="S212" s="100"/>
      <c r="T212" s="100"/>
      <c r="U212" s="100"/>
      <c r="V212" s="100"/>
      <c r="W212" s="100"/>
      <c r="X212" s="100"/>
      <c r="Y212" s="101">
        <f t="shared" ref="Y212:Y213" si="56">SUM(C212:X212)</f>
        <v>0</v>
      </c>
    </row>
    <row r="213" spans="1:25" ht="21" customHeight="1">
      <c r="A213" s="93">
        <v>510100</v>
      </c>
      <c r="B213" s="102" t="s">
        <v>12</v>
      </c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164"/>
      <c r="P213" s="164"/>
      <c r="Q213" s="164"/>
      <c r="R213" s="70"/>
      <c r="S213" s="70"/>
      <c r="T213" s="70"/>
      <c r="U213" s="70"/>
      <c r="V213" s="70"/>
      <c r="W213" s="70"/>
      <c r="X213" s="70"/>
      <c r="Y213" s="95">
        <f t="shared" si="56"/>
        <v>0</v>
      </c>
    </row>
    <row r="214" spans="1:25" ht="21" customHeight="1">
      <c r="A214" s="432" t="s">
        <v>396</v>
      </c>
      <c r="B214" s="433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67"/>
      <c r="P214" s="167"/>
      <c r="Q214" s="167"/>
      <c r="R214" s="100"/>
      <c r="S214" s="100"/>
      <c r="T214" s="100"/>
      <c r="U214" s="100"/>
      <c r="V214" s="100"/>
      <c r="W214" s="100"/>
      <c r="X214" s="100"/>
      <c r="Y214" s="101">
        <f>SUM(C214:X214)</f>
        <v>0</v>
      </c>
    </row>
    <row r="215" spans="1:25" ht="21" customHeight="1">
      <c r="A215" s="93">
        <v>610100</v>
      </c>
      <c r="B215" s="94" t="s">
        <v>398</v>
      </c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164"/>
      <c r="P215" s="164"/>
      <c r="Q215" s="164"/>
      <c r="R215" s="70"/>
      <c r="S215" s="70"/>
      <c r="T215" s="70"/>
      <c r="U215" s="70"/>
      <c r="V215" s="70"/>
      <c r="W215" s="70"/>
      <c r="X215" s="70"/>
      <c r="Y215" s="95">
        <f>SUM(C215:X215)</f>
        <v>0</v>
      </c>
    </row>
    <row r="216" spans="1:25" ht="21" customHeight="1">
      <c r="A216" s="96">
        <v>610200</v>
      </c>
      <c r="B216" s="97" t="s">
        <v>399</v>
      </c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165"/>
      <c r="P216" s="165"/>
      <c r="Q216" s="165"/>
      <c r="R216" s="76"/>
      <c r="S216" s="76"/>
      <c r="T216" s="76"/>
      <c r="U216" s="76"/>
      <c r="V216" s="76"/>
      <c r="W216" s="76"/>
      <c r="X216" s="76"/>
      <c r="Y216" s="95">
        <f t="shared" ref="Y216" si="57">SUM(C216:X216)</f>
        <v>0</v>
      </c>
    </row>
    <row r="217" spans="1:25" ht="21" customHeight="1">
      <c r="A217" s="96">
        <v>610300</v>
      </c>
      <c r="B217" s="97" t="s">
        <v>400</v>
      </c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165"/>
      <c r="P217" s="165"/>
      <c r="Q217" s="165"/>
      <c r="R217" s="76"/>
      <c r="S217" s="76"/>
      <c r="T217" s="76"/>
      <c r="U217" s="76"/>
      <c r="V217" s="76"/>
      <c r="W217" s="76"/>
      <c r="X217" s="76"/>
      <c r="Y217" s="95">
        <f>SUM(C217:X217)</f>
        <v>0</v>
      </c>
    </row>
    <row r="218" spans="1:25" ht="21" customHeight="1">
      <c r="A218" s="333">
        <v>610400</v>
      </c>
      <c r="B218" s="334" t="s">
        <v>401</v>
      </c>
      <c r="C218" s="239"/>
      <c r="D218" s="239"/>
      <c r="E218" s="239"/>
      <c r="F218" s="239"/>
      <c r="G218" s="239"/>
      <c r="H218" s="239"/>
      <c r="I218" s="239"/>
      <c r="J218" s="239"/>
      <c r="K218" s="239"/>
      <c r="L218" s="239"/>
      <c r="M218" s="239"/>
      <c r="N218" s="239"/>
      <c r="O218" s="335"/>
      <c r="P218" s="335"/>
      <c r="Q218" s="335"/>
      <c r="R218" s="239"/>
      <c r="S218" s="239"/>
      <c r="T218" s="239"/>
      <c r="U218" s="239"/>
      <c r="V218" s="239"/>
      <c r="W218" s="239"/>
      <c r="X218" s="239"/>
      <c r="Y218" s="99">
        <f t="shared" ref="Y218" si="58">SUM(C218:X218)</f>
        <v>0</v>
      </c>
    </row>
    <row r="219" spans="1:25" ht="21" customHeight="1">
      <c r="A219" s="440" t="s">
        <v>253</v>
      </c>
      <c r="B219" s="440"/>
      <c r="C219" s="440"/>
      <c r="D219" s="440"/>
      <c r="E219" s="440"/>
      <c r="F219" s="440"/>
      <c r="G219" s="440"/>
      <c r="H219" s="440"/>
      <c r="I219" s="440"/>
      <c r="J219" s="440"/>
      <c r="K219" s="440"/>
      <c r="L219" s="440"/>
      <c r="M219" s="440"/>
      <c r="N219" s="440"/>
      <c r="O219" s="361"/>
      <c r="P219" s="441" t="str">
        <f>+A219</f>
        <v>เทศบาลตำบลเขาพระ อำเภอพิปูน จังหวัดนครศรีธรรมราช</v>
      </c>
      <c r="Q219" s="441"/>
      <c r="R219" s="441"/>
      <c r="S219" s="441"/>
      <c r="T219" s="441"/>
      <c r="U219" s="441"/>
      <c r="V219" s="441"/>
      <c r="W219" s="441"/>
      <c r="X219" s="441"/>
      <c r="Y219" s="441"/>
    </row>
    <row r="220" spans="1:25" ht="21" customHeight="1">
      <c r="A220" s="440" t="s">
        <v>406</v>
      </c>
      <c r="B220" s="440"/>
      <c r="C220" s="440"/>
      <c r="D220" s="440"/>
      <c r="E220" s="440"/>
      <c r="F220" s="440"/>
      <c r="G220" s="440"/>
      <c r="H220" s="440"/>
      <c r="I220" s="440"/>
      <c r="J220" s="440"/>
      <c r="K220" s="440"/>
      <c r="L220" s="440"/>
      <c r="M220" s="440"/>
      <c r="N220" s="440"/>
      <c r="O220" s="361"/>
      <c r="P220" s="442" t="s">
        <v>384</v>
      </c>
      <c r="Q220" s="442"/>
      <c r="R220" s="442"/>
      <c r="S220" s="442"/>
      <c r="T220" s="442"/>
      <c r="U220" s="442"/>
      <c r="V220" s="442"/>
      <c r="W220" s="442"/>
      <c r="X220" s="442"/>
      <c r="Y220" s="442"/>
    </row>
    <row r="221" spans="1:25" ht="21" customHeight="1">
      <c r="A221" s="440" t="s">
        <v>453</v>
      </c>
      <c r="B221" s="440"/>
      <c r="C221" s="440"/>
      <c r="D221" s="440"/>
      <c r="E221" s="440"/>
      <c r="F221" s="440"/>
      <c r="G221" s="440"/>
      <c r="H221" s="440"/>
      <c r="I221" s="440"/>
      <c r="J221" s="440"/>
      <c r="K221" s="440"/>
      <c r="L221" s="440"/>
      <c r="M221" s="440"/>
      <c r="N221" s="440"/>
      <c r="O221" s="361"/>
      <c r="P221" s="442" t="s">
        <v>453</v>
      </c>
      <c r="Q221" s="442"/>
      <c r="R221" s="442"/>
      <c r="S221" s="442"/>
      <c r="T221" s="442"/>
      <c r="U221" s="442"/>
      <c r="V221" s="442"/>
      <c r="W221" s="442"/>
      <c r="X221" s="442"/>
      <c r="Y221" s="442"/>
    </row>
    <row r="222" spans="1:25" ht="21" customHeight="1">
      <c r="A222" s="440" t="s">
        <v>407</v>
      </c>
      <c r="B222" s="440"/>
      <c r="C222" s="440"/>
      <c r="D222" s="440"/>
      <c r="E222" s="440"/>
      <c r="F222" s="440"/>
      <c r="G222" s="440"/>
      <c r="H222" s="440"/>
      <c r="I222" s="440"/>
      <c r="J222" s="440"/>
      <c r="K222" s="440"/>
      <c r="L222" s="440"/>
      <c r="M222" s="440"/>
      <c r="N222" s="440"/>
      <c r="O222" s="316"/>
      <c r="P222" s="442" t="s">
        <v>407</v>
      </c>
      <c r="Q222" s="442"/>
      <c r="R222" s="442"/>
      <c r="S222" s="442"/>
      <c r="T222" s="442"/>
      <c r="U222" s="442"/>
      <c r="V222" s="442"/>
      <c r="W222" s="442"/>
      <c r="X222" s="442"/>
      <c r="Y222" s="442"/>
    </row>
    <row r="223" spans="1:25" ht="21" customHeight="1">
      <c r="A223" s="443" t="s">
        <v>408</v>
      </c>
      <c r="B223" s="443"/>
      <c r="C223" s="443"/>
      <c r="D223" s="443"/>
      <c r="E223" s="443"/>
      <c r="F223" s="443"/>
      <c r="G223" s="443"/>
      <c r="H223" s="443"/>
      <c r="I223" s="443"/>
      <c r="J223" s="443"/>
      <c r="K223" s="443"/>
      <c r="L223" s="443"/>
      <c r="M223" s="443"/>
      <c r="N223" s="443"/>
      <c r="O223" s="317"/>
      <c r="P223" s="444" t="s">
        <v>408</v>
      </c>
      <c r="Q223" s="444"/>
      <c r="R223" s="444"/>
      <c r="S223" s="444"/>
      <c r="T223" s="444"/>
      <c r="U223" s="444"/>
      <c r="V223" s="444"/>
      <c r="W223" s="444"/>
      <c r="X223" s="444"/>
      <c r="Y223" s="444"/>
    </row>
    <row r="224" spans="1:25" ht="21" customHeight="1">
      <c r="A224" s="435" t="s">
        <v>139</v>
      </c>
      <c r="B224" s="435"/>
      <c r="C224" s="434" t="s">
        <v>141</v>
      </c>
      <c r="D224" s="434"/>
      <c r="E224" s="437" t="s">
        <v>144</v>
      </c>
      <c r="F224" s="438"/>
      <c r="G224" s="434" t="s">
        <v>146</v>
      </c>
      <c r="H224" s="435"/>
      <c r="I224" s="437" t="s">
        <v>160</v>
      </c>
      <c r="J224" s="438"/>
      <c r="K224" s="359" t="s">
        <v>161</v>
      </c>
      <c r="L224" s="437" t="s">
        <v>162</v>
      </c>
      <c r="M224" s="439"/>
      <c r="N224" s="439"/>
      <c r="O224" s="438"/>
      <c r="P224" s="437" t="s">
        <v>163</v>
      </c>
      <c r="Q224" s="438"/>
      <c r="R224" s="437" t="s">
        <v>164</v>
      </c>
      <c r="S224" s="439"/>
      <c r="T224" s="438"/>
      <c r="U224" s="434" t="s">
        <v>165</v>
      </c>
      <c r="V224" s="435"/>
      <c r="W224" s="359" t="s">
        <v>212</v>
      </c>
      <c r="X224" s="359" t="s">
        <v>166</v>
      </c>
      <c r="Y224" s="436" t="s">
        <v>17</v>
      </c>
    </row>
    <row r="225" spans="1:25" ht="21" customHeight="1">
      <c r="A225" s="435" t="s">
        <v>140</v>
      </c>
      <c r="B225" s="435"/>
      <c r="C225" s="359" t="s">
        <v>142</v>
      </c>
      <c r="D225" s="359" t="s">
        <v>143</v>
      </c>
      <c r="E225" s="359" t="s">
        <v>145</v>
      </c>
      <c r="F225" s="359" t="s">
        <v>214</v>
      </c>
      <c r="G225" s="359" t="s">
        <v>147</v>
      </c>
      <c r="H225" s="359" t="s">
        <v>148</v>
      </c>
      <c r="I225" s="359" t="s">
        <v>149</v>
      </c>
      <c r="J225" s="359" t="s">
        <v>150</v>
      </c>
      <c r="K225" s="359" t="s">
        <v>151</v>
      </c>
      <c r="L225" s="359" t="s">
        <v>152</v>
      </c>
      <c r="M225" s="359" t="s">
        <v>153</v>
      </c>
      <c r="N225" s="359" t="s">
        <v>238</v>
      </c>
      <c r="O225" s="359" t="s">
        <v>331</v>
      </c>
      <c r="P225" s="360" t="s">
        <v>303</v>
      </c>
      <c r="Q225" s="360" t="s">
        <v>154</v>
      </c>
      <c r="R225" s="359" t="s">
        <v>155</v>
      </c>
      <c r="S225" s="359" t="s">
        <v>156</v>
      </c>
      <c r="T225" s="359" t="s">
        <v>216</v>
      </c>
      <c r="U225" s="359" t="s">
        <v>157</v>
      </c>
      <c r="V225" s="359" t="s">
        <v>158</v>
      </c>
      <c r="W225" s="359" t="s">
        <v>213</v>
      </c>
      <c r="X225" s="359" t="s">
        <v>159</v>
      </c>
      <c r="Y225" s="436"/>
    </row>
    <row r="226" spans="1:25" ht="21" customHeight="1">
      <c r="A226" s="432" t="s">
        <v>385</v>
      </c>
      <c r="B226" s="433"/>
      <c r="C226" s="92"/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163"/>
      <c r="P226" s="163"/>
      <c r="Q226" s="163"/>
      <c r="R226" s="92"/>
      <c r="S226" s="92"/>
      <c r="T226" s="92"/>
      <c r="U226" s="92"/>
      <c r="V226" s="92"/>
      <c r="W226" s="92"/>
      <c r="X226" s="92"/>
      <c r="Y226" s="92"/>
    </row>
    <row r="227" spans="1:25" ht="21" customHeight="1">
      <c r="A227" s="314">
        <v>110100</v>
      </c>
      <c r="B227" s="311" t="s">
        <v>342</v>
      </c>
      <c r="C227" s="312"/>
      <c r="D227" s="312"/>
      <c r="E227" s="312"/>
      <c r="F227" s="312"/>
      <c r="G227" s="312"/>
      <c r="H227" s="312"/>
      <c r="I227" s="312"/>
      <c r="J227" s="312"/>
      <c r="K227" s="312"/>
      <c r="L227" s="312"/>
      <c r="M227" s="312"/>
      <c r="N227" s="312"/>
      <c r="O227" s="313"/>
      <c r="P227" s="313"/>
      <c r="Q227" s="313"/>
      <c r="R227" s="312"/>
      <c r="S227" s="312"/>
      <c r="T227" s="312"/>
      <c r="U227" s="312"/>
      <c r="V227" s="312"/>
      <c r="W227" s="312"/>
      <c r="X227" s="312"/>
      <c r="Y227" s="95">
        <f>SUM(C227:X227)</f>
        <v>0</v>
      </c>
    </row>
    <row r="228" spans="1:25" ht="21" customHeight="1">
      <c r="A228" s="314">
        <v>110200</v>
      </c>
      <c r="B228" s="311" t="s">
        <v>329</v>
      </c>
      <c r="C228" s="312"/>
      <c r="D228" s="312"/>
      <c r="E228" s="312"/>
      <c r="F228" s="312"/>
      <c r="G228" s="312"/>
      <c r="H228" s="312"/>
      <c r="I228" s="312"/>
      <c r="J228" s="312"/>
      <c r="K228" s="312"/>
      <c r="L228" s="312"/>
      <c r="M228" s="312"/>
      <c r="N228" s="312"/>
      <c r="O228" s="313"/>
      <c r="P228" s="313"/>
      <c r="Q228" s="313"/>
      <c r="R228" s="312"/>
      <c r="S228" s="312"/>
      <c r="T228" s="312"/>
      <c r="U228" s="312"/>
      <c r="V228" s="312"/>
      <c r="W228" s="312"/>
      <c r="X228" s="312"/>
      <c r="Y228" s="95">
        <f t="shared" ref="Y228" si="59">SUM(C228:X228)</f>
        <v>0</v>
      </c>
    </row>
    <row r="229" spans="1:25" ht="21" customHeight="1">
      <c r="A229" s="93">
        <v>110300</v>
      </c>
      <c r="B229" s="94" t="s">
        <v>167</v>
      </c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164"/>
      <c r="P229" s="164"/>
      <c r="Q229" s="164"/>
      <c r="R229" s="70"/>
      <c r="S229" s="70"/>
      <c r="T229" s="70"/>
      <c r="U229" s="70"/>
      <c r="V229" s="70"/>
      <c r="W229" s="70"/>
      <c r="X229" s="70"/>
      <c r="Y229" s="95">
        <f>SUM(C229:X229)</f>
        <v>0</v>
      </c>
    </row>
    <row r="230" spans="1:25" ht="21" customHeight="1">
      <c r="A230" s="93">
        <v>110700</v>
      </c>
      <c r="B230" s="94" t="s">
        <v>101</v>
      </c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164"/>
      <c r="P230" s="164"/>
      <c r="Q230" s="164"/>
      <c r="R230" s="70"/>
      <c r="S230" s="70"/>
      <c r="T230" s="70"/>
      <c r="U230" s="70"/>
      <c r="V230" s="70"/>
      <c r="W230" s="70"/>
      <c r="X230" s="70"/>
      <c r="Y230" s="95">
        <f t="shared" ref="Y230:Y235" si="60">SUM(C230:X230)</f>
        <v>0</v>
      </c>
    </row>
    <row r="231" spans="1:25" ht="21" customHeight="1">
      <c r="A231" s="93">
        <v>110800</v>
      </c>
      <c r="B231" s="94" t="s">
        <v>105</v>
      </c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164"/>
      <c r="P231" s="164"/>
      <c r="Q231" s="164"/>
      <c r="R231" s="70"/>
      <c r="S231" s="70"/>
      <c r="T231" s="70"/>
      <c r="U231" s="70"/>
      <c r="V231" s="70"/>
      <c r="W231" s="70"/>
      <c r="X231" s="70"/>
      <c r="Y231" s="95">
        <f t="shared" si="60"/>
        <v>0</v>
      </c>
    </row>
    <row r="232" spans="1:25" ht="21" customHeight="1">
      <c r="A232" s="93">
        <v>110900</v>
      </c>
      <c r="B232" s="94" t="s">
        <v>106</v>
      </c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164"/>
      <c r="P232" s="164"/>
      <c r="Q232" s="164"/>
      <c r="R232" s="70"/>
      <c r="S232" s="70"/>
      <c r="T232" s="70"/>
      <c r="U232" s="70"/>
      <c r="V232" s="70"/>
      <c r="W232" s="70"/>
      <c r="X232" s="70"/>
      <c r="Y232" s="95">
        <f t="shared" si="60"/>
        <v>0</v>
      </c>
    </row>
    <row r="233" spans="1:25" ht="21" customHeight="1">
      <c r="A233" s="93">
        <v>111000</v>
      </c>
      <c r="B233" s="94" t="s">
        <v>107</v>
      </c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164"/>
      <c r="P233" s="164"/>
      <c r="Q233" s="164"/>
      <c r="R233" s="70"/>
      <c r="S233" s="70"/>
      <c r="T233" s="70"/>
      <c r="U233" s="70"/>
      <c r="V233" s="70"/>
      <c r="W233" s="70"/>
      <c r="X233" s="70"/>
      <c r="Y233" s="95">
        <f t="shared" si="60"/>
        <v>0</v>
      </c>
    </row>
    <row r="234" spans="1:25" ht="21" customHeight="1">
      <c r="A234" s="93">
        <v>111100</v>
      </c>
      <c r="B234" s="94" t="s">
        <v>330</v>
      </c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164"/>
      <c r="P234" s="164"/>
      <c r="Q234" s="164"/>
      <c r="R234" s="70"/>
      <c r="S234" s="70"/>
      <c r="T234" s="70"/>
      <c r="U234" s="70"/>
      <c r="V234" s="70"/>
      <c r="W234" s="70"/>
      <c r="X234" s="70"/>
      <c r="Y234" s="95">
        <f t="shared" si="60"/>
        <v>0</v>
      </c>
    </row>
    <row r="235" spans="1:25" ht="21" customHeight="1">
      <c r="A235" s="93">
        <v>111100</v>
      </c>
      <c r="B235" s="94" t="s">
        <v>297</v>
      </c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164"/>
      <c r="P235" s="164"/>
      <c r="Q235" s="164"/>
      <c r="R235" s="70"/>
      <c r="S235" s="70"/>
      <c r="T235" s="70"/>
      <c r="U235" s="70"/>
      <c r="V235" s="70"/>
      <c r="W235" s="70"/>
      <c r="X235" s="70"/>
      <c r="Y235" s="95">
        <f t="shared" si="60"/>
        <v>0</v>
      </c>
    </row>
    <row r="236" spans="1:25" ht="21" customHeight="1">
      <c r="A236" s="96">
        <v>120100</v>
      </c>
      <c r="B236" s="97" t="s">
        <v>168</v>
      </c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165"/>
      <c r="P236" s="165"/>
      <c r="Q236" s="165"/>
      <c r="R236" s="76"/>
      <c r="S236" s="76"/>
      <c r="T236" s="76"/>
      <c r="U236" s="76"/>
      <c r="V236" s="76"/>
      <c r="W236" s="76"/>
      <c r="X236" s="76"/>
      <c r="Y236" s="98">
        <f>SUM(C236:X236)</f>
        <v>0</v>
      </c>
    </row>
    <row r="237" spans="1:25" ht="21" customHeight="1">
      <c r="A237" s="432" t="s">
        <v>386</v>
      </c>
      <c r="B237" s="433"/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67"/>
      <c r="P237" s="167"/>
      <c r="Q237" s="167"/>
      <c r="R237" s="100"/>
      <c r="S237" s="100"/>
      <c r="T237" s="100"/>
      <c r="U237" s="100"/>
      <c r="V237" s="100"/>
      <c r="W237" s="100"/>
      <c r="X237" s="100"/>
      <c r="Y237" s="101">
        <f t="shared" ref="Y237:Y243" si="61">SUM(C237:X237)</f>
        <v>0</v>
      </c>
    </row>
    <row r="238" spans="1:25" ht="21" customHeight="1">
      <c r="A238" s="93">
        <v>210100</v>
      </c>
      <c r="B238" s="68" t="s">
        <v>169</v>
      </c>
      <c r="C238" s="70"/>
      <c r="D238" s="70">
        <v>0</v>
      </c>
      <c r="E238" s="70"/>
      <c r="F238" s="70"/>
      <c r="G238" s="70"/>
      <c r="H238" s="70"/>
      <c r="I238" s="70"/>
      <c r="J238" s="70"/>
      <c r="K238" s="70"/>
      <c r="L238" s="70">
        <v>0</v>
      </c>
      <c r="M238" s="70"/>
      <c r="N238" s="70"/>
      <c r="O238" s="164"/>
      <c r="P238" s="164"/>
      <c r="Q238" s="164"/>
      <c r="R238" s="70"/>
      <c r="S238" s="70"/>
      <c r="T238" s="70"/>
      <c r="U238" s="70"/>
      <c r="V238" s="70"/>
      <c r="W238" s="70"/>
      <c r="X238" s="70"/>
      <c r="Y238" s="95">
        <f t="shared" si="61"/>
        <v>0</v>
      </c>
    </row>
    <row r="239" spans="1:25" ht="21" customHeight="1">
      <c r="A239" s="93">
        <v>210200</v>
      </c>
      <c r="B239" s="68" t="s">
        <v>173</v>
      </c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164"/>
      <c r="P239" s="164"/>
      <c r="Q239" s="164"/>
      <c r="R239" s="70"/>
      <c r="S239" s="70"/>
      <c r="T239" s="70"/>
      <c r="U239" s="70"/>
      <c r="V239" s="70"/>
      <c r="W239" s="70"/>
      <c r="X239" s="70"/>
      <c r="Y239" s="95">
        <f t="shared" si="61"/>
        <v>0</v>
      </c>
    </row>
    <row r="240" spans="1:25" ht="21" customHeight="1">
      <c r="A240" s="93">
        <v>210300</v>
      </c>
      <c r="B240" s="68" t="s">
        <v>170</v>
      </c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164"/>
      <c r="P240" s="164"/>
      <c r="Q240" s="164"/>
      <c r="R240" s="70"/>
      <c r="S240" s="70"/>
      <c r="T240" s="70"/>
      <c r="U240" s="70"/>
      <c r="V240" s="70"/>
      <c r="W240" s="70"/>
      <c r="X240" s="70"/>
      <c r="Y240" s="95">
        <f t="shared" si="61"/>
        <v>0</v>
      </c>
    </row>
    <row r="241" spans="1:25" ht="21" customHeight="1">
      <c r="A241" s="93">
        <v>210400</v>
      </c>
      <c r="B241" s="68" t="s">
        <v>171</v>
      </c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164"/>
      <c r="P241" s="164"/>
      <c r="Q241" s="164"/>
      <c r="R241" s="70"/>
      <c r="S241" s="70"/>
      <c r="T241" s="70"/>
      <c r="U241" s="70"/>
      <c r="V241" s="70"/>
      <c r="W241" s="70"/>
      <c r="X241" s="70"/>
      <c r="Y241" s="95">
        <f t="shared" si="61"/>
        <v>0</v>
      </c>
    </row>
    <row r="242" spans="1:25" ht="21" customHeight="1">
      <c r="A242" s="96">
        <v>210600</v>
      </c>
      <c r="B242" s="69" t="s">
        <v>172</v>
      </c>
      <c r="C242" s="70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165"/>
      <c r="P242" s="165"/>
      <c r="Q242" s="165"/>
      <c r="R242" s="76"/>
      <c r="S242" s="76"/>
      <c r="T242" s="76"/>
      <c r="U242" s="76"/>
      <c r="V242" s="76"/>
      <c r="W242" s="76"/>
      <c r="X242" s="76"/>
      <c r="Y242" s="98">
        <f t="shared" si="61"/>
        <v>0</v>
      </c>
    </row>
    <row r="243" spans="1:25" ht="21" customHeight="1">
      <c r="A243" s="432" t="s">
        <v>387</v>
      </c>
      <c r="B243" s="433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67"/>
      <c r="P243" s="167"/>
      <c r="Q243" s="167"/>
      <c r="R243" s="100"/>
      <c r="S243" s="100"/>
      <c r="T243" s="100"/>
      <c r="U243" s="100"/>
      <c r="V243" s="100"/>
      <c r="W243" s="100"/>
      <c r="X243" s="100"/>
      <c r="Y243" s="101">
        <f t="shared" si="61"/>
        <v>0</v>
      </c>
    </row>
    <row r="244" spans="1:25" ht="21" customHeight="1">
      <c r="A244" s="93">
        <v>220100</v>
      </c>
      <c r="B244" s="68" t="s">
        <v>176</v>
      </c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237"/>
      <c r="O244" s="268"/>
      <c r="P244" s="164"/>
      <c r="Q244" s="164"/>
      <c r="R244" s="70"/>
      <c r="S244" s="70"/>
      <c r="T244" s="70"/>
      <c r="U244" s="70"/>
      <c r="V244" s="70"/>
      <c r="W244" s="70"/>
      <c r="X244" s="70"/>
      <c r="Y244" s="95">
        <f>SUM(C244:X244)</f>
        <v>0</v>
      </c>
    </row>
    <row r="245" spans="1:25" ht="21" customHeight="1">
      <c r="A245" s="93">
        <v>220200</v>
      </c>
      <c r="B245" s="68" t="s">
        <v>177</v>
      </c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238"/>
      <c r="O245" s="94"/>
      <c r="P245" s="164"/>
      <c r="Q245" s="164"/>
      <c r="R245" s="70"/>
      <c r="S245" s="70"/>
      <c r="T245" s="70"/>
      <c r="U245" s="70"/>
      <c r="V245" s="70"/>
      <c r="W245" s="70"/>
      <c r="X245" s="70"/>
      <c r="Y245" s="95">
        <f t="shared" ref="Y245:Y248" si="62">SUM(C245:X245)</f>
        <v>0</v>
      </c>
    </row>
    <row r="246" spans="1:25" ht="21" customHeight="1">
      <c r="A246" s="93">
        <v>220300</v>
      </c>
      <c r="B246" s="68" t="s">
        <v>178</v>
      </c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238"/>
      <c r="O246" s="94"/>
      <c r="P246" s="164"/>
      <c r="Q246" s="164"/>
      <c r="R246" s="70"/>
      <c r="S246" s="70"/>
      <c r="T246" s="70"/>
      <c r="U246" s="70"/>
      <c r="V246" s="70"/>
      <c r="W246" s="70"/>
      <c r="X246" s="70"/>
      <c r="Y246" s="95">
        <f t="shared" si="62"/>
        <v>0</v>
      </c>
    </row>
    <row r="247" spans="1:25" ht="21" customHeight="1">
      <c r="A247" s="93">
        <v>220500</v>
      </c>
      <c r="B247" s="68" t="s">
        <v>3</v>
      </c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238"/>
      <c r="O247" s="94"/>
      <c r="P247" s="164"/>
      <c r="Q247" s="164"/>
      <c r="R247" s="70"/>
      <c r="S247" s="70"/>
      <c r="T247" s="70"/>
      <c r="U247" s="70"/>
      <c r="V247" s="70"/>
      <c r="W247" s="70"/>
      <c r="X247" s="70"/>
      <c r="Y247" s="95">
        <f t="shared" si="62"/>
        <v>0</v>
      </c>
    </row>
    <row r="248" spans="1:25" ht="21" customHeight="1">
      <c r="A248" s="93">
        <v>220600</v>
      </c>
      <c r="B248" s="68" t="s">
        <v>179</v>
      </c>
      <c r="C248" s="70">
        <v>0</v>
      </c>
      <c r="D248" s="70">
        <v>0</v>
      </c>
      <c r="E248" s="70"/>
      <c r="F248" s="70"/>
      <c r="G248" s="70"/>
      <c r="H248" s="70"/>
      <c r="I248" s="70"/>
      <c r="J248" s="70"/>
      <c r="K248" s="70"/>
      <c r="L248" s="70">
        <v>0</v>
      </c>
      <c r="M248" s="70"/>
      <c r="N248" s="239"/>
      <c r="O248" s="165"/>
      <c r="P248" s="164"/>
      <c r="Q248" s="164"/>
      <c r="R248" s="70"/>
      <c r="S248" s="70"/>
      <c r="T248" s="70"/>
      <c r="U248" s="70"/>
      <c r="V248" s="70"/>
      <c r="W248" s="70"/>
      <c r="X248" s="70"/>
      <c r="Y248" s="95">
        <f t="shared" si="62"/>
        <v>0</v>
      </c>
    </row>
    <row r="249" spans="1:25" ht="21" customHeight="1">
      <c r="A249" s="435" t="s">
        <v>139</v>
      </c>
      <c r="B249" s="435"/>
      <c r="C249" s="434" t="s">
        <v>141</v>
      </c>
      <c r="D249" s="434"/>
      <c r="E249" s="437" t="s">
        <v>144</v>
      </c>
      <c r="F249" s="438"/>
      <c r="G249" s="434" t="s">
        <v>146</v>
      </c>
      <c r="H249" s="435"/>
      <c r="I249" s="437" t="s">
        <v>160</v>
      </c>
      <c r="J249" s="438"/>
      <c r="K249" s="359" t="s">
        <v>161</v>
      </c>
      <c r="L249" s="437" t="s">
        <v>162</v>
      </c>
      <c r="M249" s="439"/>
      <c r="N249" s="439"/>
      <c r="O249" s="438"/>
      <c r="P249" s="437" t="s">
        <v>163</v>
      </c>
      <c r="Q249" s="438"/>
      <c r="R249" s="437" t="s">
        <v>164</v>
      </c>
      <c r="S249" s="439"/>
      <c r="T249" s="438"/>
      <c r="U249" s="434" t="s">
        <v>165</v>
      </c>
      <c r="V249" s="435"/>
      <c r="W249" s="359" t="s">
        <v>212</v>
      </c>
      <c r="X249" s="359" t="s">
        <v>166</v>
      </c>
      <c r="Y249" s="436" t="s">
        <v>17</v>
      </c>
    </row>
    <row r="250" spans="1:25" ht="21" customHeight="1">
      <c r="A250" s="435" t="s">
        <v>140</v>
      </c>
      <c r="B250" s="435"/>
      <c r="C250" s="359" t="s">
        <v>142</v>
      </c>
      <c r="D250" s="359" t="s">
        <v>143</v>
      </c>
      <c r="E250" s="359" t="s">
        <v>145</v>
      </c>
      <c r="F250" s="359" t="s">
        <v>214</v>
      </c>
      <c r="G250" s="359" t="s">
        <v>147</v>
      </c>
      <c r="H250" s="359" t="s">
        <v>148</v>
      </c>
      <c r="I250" s="359" t="s">
        <v>149</v>
      </c>
      <c r="J250" s="359" t="s">
        <v>150</v>
      </c>
      <c r="K250" s="359" t="s">
        <v>151</v>
      </c>
      <c r="L250" s="359" t="s">
        <v>152</v>
      </c>
      <c r="M250" s="359" t="s">
        <v>153</v>
      </c>
      <c r="N250" s="359" t="s">
        <v>238</v>
      </c>
      <c r="O250" s="359" t="s">
        <v>331</v>
      </c>
      <c r="P250" s="360" t="s">
        <v>303</v>
      </c>
      <c r="Q250" s="360" t="s">
        <v>154</v>
      </c>
      <c r="R250" s="359" t="s">
        <v>155</v>
      </c>
      <c r="S250" s="359" t="s">
        <v>156</v>
      </c>
      <c r="T250" s="359" t="s">
        <v>216</v>
      </c>
      <c r="U250" s="359" t="s">
        <v>157</v>
      </c>
      <c r="V250" s="359" t="s">
        <v>158</v>
      </c>
      <c r="W250" s="359" t="s">
        <v>213</v>
      </c>
      <c r="X250" s="359" t="s">
        <v>159</v>
      </c>
      <c r="Y250" s="436"/>
    </row>
    <row r="251" spans="1:25" ht="21" customHeight="1">
      <c r="A251" s="93">
        <v>220700</v>
      </c>
      <c r="B251" s="68" t="s">
        <v>180</v>
      </c>
      <c r="C251" s="70"/>
      <c r="D251" s="70"/>
      <c r="E251" s="70"/>
      <c r="F251" s="70"/>
      <c r="G251" s="70"/>
      <c r="H251" s="74"/>
      <c r="I251" s="70"/>
      <c r="J251" s="70"/>
      <c r="K251" s="70"/>
      <c r="L251" s="70"/>
      <c r="M251" s="70"/>
      <c r="N251" s="70"/>
      <c r="O251" s="164"/>
      <c r="P251" s="164"/>
      <c r="Q251" s="164"/>
      <c r="R251" s="70"/>
      <c r="S251" s="70"/>
      <c r="T251" s="70"/>
      <c r="U251" s="70"/>
      <c r="V251" s="70"/>
      <c r="W251" s="70"/>
      <c r="X251" s="70"/>
      <c r="Y251" s="95">
        <f>SUM(C251:X251)</f>
        <v>0</v>
      </c>
    </row>
    <row r="252" spans="1:25" ht="21" customHeight="1">
      <c r="A252" s="96">
        <v>220800</v>
      </c>
      <c r="B252" s="69" t="s">
        <v>181</v>
      </c>
      <c r="C252" s="70"/>
      <c r="D252" s="76"/>
      <c r="E252" s="76"/>
      <c r="F252" s="76"/>
      <c r="G252" s="76"/>
      <c r="H252" s="123"/>
      <c r="I252" s="76"/>
      <c r="J252" s="76"/>
      <c r="K252" s="76"/>
      <c r="L252" s="70"/>
      <c r="M252" s="76"/>
      <c r="N252" s="76"/>
      <c r="O252" s="165"/>
      <c r="P252" s="165"/>
      <c r="Q252" s="165"/>
      <c r="R252" s="76"/>
      <c r="S252" s="76"/>
      <c r="T252" s="76"/>
      <c r="U252" s="76"/>
      <c r="V252" s="76"/>
      <c r="W252" s="76"/>
      <c r="X252" s="76"/>
      <c r="Y252" s="95">
        <f>SUM(C252:X252)</f>
        <v>0</v>
      </c>
    </row>
    <row r="253" spans="1:25" ht="21" customHeight="1">
      <c r="A253" s="432" t="s">
        <v>388</v>
      </c>
      <c r="B253" s="433"/>
      <c r="C253" s="100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67"/>
      <c r="P253" s="167"/>
      <c r="Q253" s="167"/>
      <c r="R253" s="100"/>
      <c r="S253" s="100"/>
      <c r="T253" s="100"/>
      <c r="U253" s="100"/>
      <c r="V253" s="100"/>
      <c r="W253" s="100"/>
      <c r="X253" s="100"/>
      <c r="Y253" s="101">
        <f t="shared" ref="Y253:Y258" si="63">SUM(C253:X253)</f>
        <v>0</v>
      </c>
    </row>
    <row r="254" spans="1:25" ht="21" customHeight="1">
      <c r="A254" s="93">
        <v>310100</v>
      </c>
      <c r="B254" s="68" t="s">
        <v>182</v>
      </c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164"/>
      <c r="P254" s="164"/>
      <c r="Q254" s="164"/>
      <c r="R254" s="70"/>
      <c r="S254" s="70"/>
      <c r="T254" s="70"/>
      <c r="U254" s="70"/>
      <c r="V254" s="70"/>
      <c r="W254" s="70"/>
      <c r="X254" s="70"/>
      <c r="Y254" s="95">
        <f t="shared" si="63"/>
        <v>0</v>
      </c>
    </row>
    <row r="255" spans="1:25" ht="21" customHeight="1">
      <c r="A255" s="93">
        <v>310200</v>
      </c>
      <c r="B255" s="68" t="s">
        <v>183</v>
      </c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164"/>
      <c r="P255" s="164"/>
      <c r="Q255" s="164"/>
      <c r="R255" s="70"/>
      <c r="S255" s="70"/>
      <c r="T255" s="70"/>
      <c r="U255" s="70"/>
      <c r="V255" s="70"/>
      <c r="W255" s="70"/>
      <c r="X255" s="70"/>
      <c r="Y255" s="95">
        <f t="shared" si="63"/>
        <v>0</v>
      </c>
    </row>
    <row r="256" spans="1:25" ht="21" customHeight="1">
      <c r="A256" s="93">
        <v>310300</v>
      </c>
      <c r="B256" s="68" t="s">
        <v>184</v>
      </c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164"/>
      <c r="P256" s="164"/>
      <c r="Q256" s="164"/>
      <c r="R256" s="70"/>
      <c r="S256" s="70"/>
      <c r="T256" s="70"/>
      <c r="U256" s="70"/>
      <c r="V256" s="70"/>
      <c r="W256" s="70"/>
      <c r="X256" s="70"/>
      <c r="Y256" s="95">
        <f t="shared" si="63"/>
        <v>0</v>
      </c>
    </row>
    <row r="257" spans="1:25" ht="21" customHeight="1">
      <c r="A257" s="93">
        <v>310400</v>
      </c>
      <c r="B257" s="68" t="s">
        <v>185</v>
      </c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164"/>
      <c r="P257" s="164"/>
      <c r="Q257" s="164"/>
      <c r="R257" s="70"/>
      <c r="S257" s="70"/>
      <c r="T257" s="70"/>
      <c r="U257" s="70"/>
      <c r="V257" s="70"/>
      <c r="W257" s="70"/>
      <c r="X257" s="70"/>
      <c r="Y257" s="95">
        <f t="shared" si="63"/>
        <v>0</v>
      </c>
    </row>
    <row r="258" spans="1:25" ht="21" customHeight="1">
      <c r="A258" s="93">
        <v>310500</v>
      </c>
      <c r="B258" s="68" t="s">
        <v>409</v>
      </c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164"/>
      <c r="P258" s="164"/>
      <c r="Q258" s="164"/>
      <c r="R258" s="70"/>
      <c r="S258" s="70"/>
      <c r="T258" s="70"/>
      <c r="U258" s="70"/>
      <c r="V258" s="70"/>
      <c r="W258" s="70"/>
      <c r="X258" s="70"/>
      <c r="Y258" s="95">
        <f t="shared" si="63"/>
        <v>0</v>
      </c>
    </row>
    <row r="259" spans="1:25" ht="21" customHeight="1">
      <c r="A259" s="96">
        <v>310600</v>
      </c>
      <c r="B259" s="69" t="s">
        <v>187</v>
      </c>
      <c r="C259" s="70"/>
      <c r="D259" s="70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165"/>
      <c r="P259" s="165"/>
      <c r="Q259" s="165"/>
      <c r="R259" s="76"/>
      <c r="S259" s="76"/>
      <c r="T259" s="76"/>
      <c r="U259" s="76"/>
      <c r="V259" s="76"/>
      <c r="W259" s="76"/>
      <c r="X259" s="76"/>
      <c r="Y259" s="98">
        <f>SUM(C259:X259)</f>
        <v>0</v>
      </c>
    </row>
    <row r="260" spans="1:25" ht="21" customHeight="1">
      <c r="A260" s="96">
        <v>310700</v>
      </c>
      <c r="B260" s="69" t="s">
        <v>410</v>
      </c>
      <c r="C260" s="70"/>
      <c r="D260" s="70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165"/>
      <c r="P260" s="165"/>
      <c r="Q260" s="165"/>
      <c r="R260" s="76"/>
      <c r="S260" s="76"/>
      <c r="T260" s="76"/>
      <c r="U260" s="76"/>
      <c r="V260" s="76"/>
      <c r="W260" s="76"/>
      <c r="X260" s="76"/>
      <c r="Y260" s="98">
        <f>SUM(C260:X260)</f>
        <v>0</v>
      </c>
    </row>
    <row r="261" spans="1:25" ht="21" customHeight="1">
      <c r="A261" s="432" t="s">
        <v>389</v>
      </c>
      <c r="B261" s="433"/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67"/>
      <c r="P261" s="167"/>
      <c r="Q261" s="167"/>
      <c r="R261" s="100"/>
      <c r="S261" s="100"/>
      <c r="T261" s="100"/>
      <c r="U261" s="100"/>
      <c r="V261" s="100"/>
      <c r="W261" s="100"/>
      <c r="X261" s="100"/>
      <c r="Y261" s="101">
        <f t="shared" ref="Y261:Y272" si="64">SUM(C261:X261)</f>
        <v>0</v>
      </c>
    </row>
    <row r="262" spans="1:25" ht="21" customHeight="1">
      <c r="A262" s="93">
        <v>320100</v>
      </c>
      <c r="B262" s="68" t="s">
        <v>188</v>
      </c>
      <c r="C262" s="70"/>
      <c r="D262" s="70"/>
      <c r="E262" s="70"/>
      <c r="F262" s="70"/>
      <c r="G262" s="70"/>
      <c r="H262" s="70"/>
      <c r="I262" s="70"/>
      <c r="J262" s="70"/>
      <c r="K262" s="70"/>
      <c r="L262" s="70">
        <v>90000</v>
      </c>
      <c r="M262" s="70"/>
      <c r="N262" s="70"/>
      <c r="O262" s="164"/>
      <c r="P262" s="164"/>
      <c r="Q262" s="164"/>
      <c r="R262" s="70"/>
      <c r="S262" s="70"/>
      <c r="T262" s="70"/>
      <c r="U262" s="70"/>
      <c r="V262" s="70"/>
      <c r="W262" s="70">
        <v>-90000</v>
      </c>
      <c r="X262" s="70"/>
      <c r="Y262" s="95">
        <f t="shared" si="64"/>
        <v>0</v>
      </c>
    </row>
    <row r="263" spans="1:25" ht="21" customHeight="1">
      <c r="A263" s="93">
        <v>320200</v>
      </c>
      <c r="B263" s="68" t="s">
        <v>189</v>
      </c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164"/>
      <c r="P263" s="164"/>
      <c r="Q263" s="164"/>
      <c r="R263" s="70"/>
      <c r="S263" s="70"/>
      <c r="T263" s="70"/>
      <c r="U263" s="70"/>
      <c r="V263" s="70"/>
      <c r="W263" s="70"/>
      <c r="X263" s="70"/>
      <c r="Y263" s="95">
        <f t="shared" si="64"/>
        <v>0</v>
      </c>
    </row>
    <row r="264" spans="1:25" ht="21" customHeight="1">
      <c r="A264" s="93">
        <v>320300</v>
      </c>
      <c r="B264" s="68" t="s">
        <v>190</v>
      </c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164"/>
      <c r="P264" s="164"/>
      <c r="Q264" s="164"/>
      <c r="R264" s="70">
        <v>-40000</v>
      </c>
      <c r="S264" s="70"/>
      <c r="T264" s="70"/>
      <c r="U264" s="70"/>
      <c r="V264" s="70"/>
      <c r="W264" s="70"/>
      <c r="X264" s="70"/>
      <c r="Y264" s="95">
        <f t="shared" si="64"/>
        <v>-40000</v>
      </c>
    </row>
    <row r="265" spans="1:25" ht="21" customHeight="1">
      <c r="A265" s="96">
        <v>320400</v>
      </c>
      <c r="B265" s="69" t="s">
        <v>191</v>
      </c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165"/>
      <c r="P265" s="165"/>
      <c r="Q265" s="165"/>
      <c r="R265" s="76"/>
      <c r="S265" s="76"/>
      <c r="T265" s="76"/>
      <c r="U265" s="76"/>
      <c r="V265" s="76"/>
      <c r="W265" s="76"/>
      <c r="X265" s="76"/>
      <c r="Y265" s="95">
        <f t="shared" si="64"/>
        <v>0</v>
      </c>
    </row>
    <row r="266" spans="1:25" ht="21" customHeight="1">
      <c r="A266" s="432" t="s">
        <v>390</v>
      </c>
      <c r="B266" s="433"/>
      <c r="C266" s="100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67"/>
      <c r="P266" s="167"/>
      <c r="Q266" s="167"/>
      <c r="R266" s="100"/>
      <c r="S266" s="100"/>
      <c r="T266" s="100"/>
      <c r="U266" s="100"/>
      <c r="V266" s="100"/>
      <c r="W266" s="100"/>
      <c r="X266" s="100"/>
      <c r="Y266" s="101">
        <f t="shared" si="64"/>
        <v>0</v>
      </c>
    </row>
    <row r="267" spans="1:25" ht="21" customHeight="1">
      <c r="A267" s="93">
        <v>330100</v>
      </c>
      <c r="B267" s="68" t="s">
        <v>192</v>
      </c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164"/>
      <c r="P267" s="164"/>
      <c r="Q267" s="164"/>
      <c r="R267" s="70"/>
      <c r="S267" s="70"/>
      <c r="T267" s="70"/>
      <c r="U267" s="70"/>
      <c r="V267" s="70"/>
      <c r="W267" s="70"/>
      <c r="X267" s="70"/>
      <c r="Y267" s="95">
        <f t="shared" si="64"/>
        <v>0</v>
      </c>
    </row>
    <row r="268" spans="1:25" ht="21" customHeight="1">
      <c r="A268" s="93">
        <v>330200</v>
      </c>
      <c r="B268" s="68" t="s">
        <v>193</v>
      </c>
      <c r="C268" s="70">
        <v>10000</v>
      </c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164"/>
      <c r="P268" s="164"/>
      <c r="Q268" s="164"/>
      <c r="R268" s="70"/>
      <c r="S268" s="70"/>
      <c r="T268" s="70"/>
      <c r="U268" s="70"/>
      <c r="V268" s="70"/>
      <c r="W268" s="70"/>
      <c r="X268" s="70"/>
      <c r="Y268" s="95">
        <f t="shared" si="64"/>
        <v>10000</v>
      </c>
    </row>
    <row r="269" spans="1:25" ht="21" customHeight="1">
      <c r="A269" s="93">
        <v>330300</v>
      </c>
      <c r="B269" s="68" t="s">
        <v>235</v>
      </c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164"/>
      <c r="P269" s="164"/>
      <c r="Q269" s="164"/>
      <c r="R269" s="70"/>
      <c r="S269" s="70"/>
      <c r="T269" s="70"/>
      <c r="U269" s="70"/>
      <c r="V269" s="70"/>
      <c r="W269" s="70"/>
      <c r="X269" s="70"/>
      <c r="Y269" s="95">
        <f t="shared" si="64"/>
        <v>0</v>
      </c>
    </row>
    <row r="270" spans="1:25" ht="21" customHeight="1">
      <c r="A270" s="93">
        <v>330400</v>
      </c>
      <c r="B270" s="68" t="s">
        <v>210</v>
      </c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164"/>
      <c r="P270" s="164"/>
      <c r="Q270" s="164"/>
      <c r="R270" s="70"/>
      <c r="S270" s="70"/>
      <c r="T270" s="70"/>
      <c r="U270" s="70"/>
      <c r="V270" s="70"/>
      <c r="W270" s="70"/>
      <c r="X270" s="70"/>
      <c r="Y270" s="95">
        <f t="shared" si="64"/>
        <v>0</v>
      </c>
    </row>
    <row r="271" spans="1:25" ht="21" customHeight="1">
      <c r="A271" s="93">
        <v>330600</v>
      </c>
      <c r="B271" s="68" t="s">
        <v>194</v>
      </c>
      <c r="C271" s="70">
        <v>50000</v>
      </c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164"/>
      <c r="P271" s="164"/>
      <c r="Q271" s="164"/>
      <c r="R271" s="70"/>
      <c r="S271" s="70"/>
      <c r="T271" s="70"/>
      <c r="U271" s="70"/>
      <c r="V271" s="70"/>
      <c r="W271" s="70"/>
      <c r="X271" s="70"/>
      <c r="Y271" s="95">
        <f t="shared" si="64"/>
        <v>50000</v>
      </c>
    </row>
    <row r="272" spans="1:25" ht="21" customHeight="1">
      <c r="A272" s="93">
        <v>330700</v>
      </c>
      <c r="B272" s="68" t="s">
        <v>310</v>
      </c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164"/>
      <c r="P272" s="164"/>
      <c r="Q272" s="164"/>
      <c r="R272" s="70"/>
      <c r="S272" s="70"/>
      <c r="T272" s="70"/>
      <c r="U272" s="70"/>
      <c r="V272" s="70"/>
      <c r="W272" s="70"/>
      <c r="X272" s="70"/>
      <c r="Y272" s="95">
        <f t="shared" si="64"/>
        <v>0</v>
      </c>
    </row>
    <row r="273" spans="1:25" ht="21" customHeight="1">
      <c r="A273" s="93">
        <v>330800</v>
      </c>
      <c r="B273" s="68" t="s">
        <v>195</v>
      </c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164"/>
      <c r="P273" s="164"/>
      <c r="Q273" s="164"/>
      <c r="R273" s="70"/>
      <c r="S273" s="70"/>
      <c r="T273" s="70"/>
      <c r="U273" s="70"/>
      <c r="V273" s="70"/>
      <c r="W273" s="70"/>
      <c r="X273" s="70"/>
      <c r="Y273" s="95">
        <f>SUM(C273:X273)</f>
        <v>0</v>
      </c>
    </row>
    <row r="274" spans="1:25" ht="21" customHeight="1">
      <c r="A274" s="93">
        <v>330900</v>
      </c>
      <c r="B274" s="68" t="s">
        <v>197</v>
      </c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164"/>
      <c r="P274" s="164"/>
      <c r="Q274" s="164"/>
      <c r="R274" s="70"/>
      <c r="S274" s="70"/>
      <c r="T274" s="70"/>
      <c r="U274" s="70"/>
      <c r="V274" s="70"/>
      <c r="W274" s="70"/>
      <c r="X274" s="70"/>
      <c r="Y274" s="95">
        <f t="shared" ref="Y274" si="65">SUM(C274:X274)</f>
        <v>0</v>
      </c>
    </row>
    <row r="275" spans="1:25" ht="21" customHeight="1">
      <c r="A275" s="435" t="s">
        <v>139</v>
      </c>
      <c r="B275" s="435"/>
      <c r="C275" s="434" t="s">
        <v>141</v>
      </c>
      <c r="D275" s="434"/>
      <c r="E275" s="437" t="s">
        <v>144</v>
      </c>
      <c r="F275" s="438"/>
      <c r="G275" s="434" t="s">
        <v>146</v>
      </c>
      <c r="H275" s="435"/>
      <c r="I275" s="437" t="s">
        <v>160</v>
      </c>
      <c r="J275" s="438"/>
      <c r="K275" s="359" t="s">
        <v>161</v>
      </c>
      <c r="L275" s="437" t="s">
        <v>162</v>
      </c>
      <c r="M275" s="439"/>
      <c r="N275" s="439"/>
      <c r="O275" s="438"/>
      <c r="P275" s="437" t="s">
        <v>163</v>
      </c>
      <c r="Q275" s="438"/>
      <c r="R275" s="437" t="s">
        <v>164</v>
      </c>
      <c r="S275" s="439"/>
      <c r="T275" s="438"/>
      <c r="U275" s="434" t="s">
        <v>165</v>
      </c>
      <c r="V275" s="435"/>
      <c r="W275" s="359" t="s">
        <v>212</v>
      </c>
      <c r="X275" s="359" t="s">
        <v>166</v>
      </c>
      <c r="Y275" s="436" t="s">
        <v>17</v>
      </c>
    </row>
    <row r="276" spans="1:25" ht="21" customHeight="1">
      <c r="A276" s="435" t="s">
        <v>140</v>
      </c>
      <c r="B276" s="435"/>
      <c r="C276" s="359" t="s">
        <v>142</v>
      </c>
      <c r="D276" s="359" t="s">
        <v>143</v>
      </c>
      <c r="E276" s="359" t="s">
        <v>145</v>
      </c>
      <c r="F276" s="359" t="s">
        <v>214</v>
      </c>
      <c r="G276" s="359" t="s">
        <v>147</v>
      </c>
      <c r="H276" s="359" t="s">
        <v>148</v>
      </c>
      <c r="I276" s="359" t="s">
        <v>149</v>
      </c>
      <c r="J276" s="359" t="s">
        <v>150</v>
      </c>
      <c r="K276" s="359" t="s">
        <v>151</v>
      </c>
      <c r="L276" s="359" t="s">
        <v>152</v>
      </c>
      <c r="M276" s="359" t="s">
        <v>153</v>
      </c>
      <c r="N276" s="359" t="s">
        <v>238</v>
      </c>
      <c r="O276" s="359" t="s">
        <v>331</v>
      </c>
      <c r="P276" s="360" t="s">
        <v>303</v>
      </c>
      <c r="Q276" s="360" t="s">
        <v>154</v>
      </c>
      <c r="R276" s="359" t="s">
        <v>155</v>
      </c>
      <c r="S276" s="359" t="s">
        <v>156</v>
      </c>
      <c r="T276" s="359" t="s">
        <v>216</v>
      </c>
      <c r="U276" s="359" t="s">
        <v>157</v>
      </c>
      <c r="V276" s="359" t="s">
        <v>158</v>
      </c>
      <c r="W276" s="359" t="s">
        <v>213</v>
      </c>
      <c r="X276" s="359" t="s">
        <v>159</v>
      </c>
      <c r="Y276" s="436"/>
    </row>
    <row r="277" spans="1:25" ht="21" customHeight="1">
      <c r="A277" s="224">
        <v>331000</v>
      </c>
      <c r="B277" s="227" t="s">
        <v>300</v>
      </c>
      <c r="C277" s="228"/>
      <c r="D277" s="225"/>
      <c r="E277" s="225"/>
      <c r="F277" s="225"/>
      <c r="G277" s="225"/>
      <c r="H277" s="225"/>
      <c r="I277" s="225"/>
      <c r="J277" s="225"/>
      <c r="K277" s="225"/>
      <c r="L277" s="225"/>
      <c r="M277" s="225"/>
      <c r="N277" s="225"/>
      <c r="O277" s="226"/>
      <c r="P277" s="226"/>
      <c r="Q277" s="226"/>
      <c r="R277" s="225"/>
      <c r="S277" s="225"/>
      <c r="T277" s="225"/>
      <c r="U277" s="225"/>
      <c r="V277" s="225"/>
      <c r="W277" s="225"/>
      <c r="X277" s="225"/>
      <c r="Y277" s="95">
        <f>SUM(C277:X277)</f>
        <v>0</v>
      </c>
    </row>
    <row r="278" spans="1:25" ht="21" customHeight="1">
      <c r="A278" s="93">
        <v>331200</v>
      </c>
      <c r="B278" s="68" t="s">
        <v>198</v>
      </c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164"/>
      <c r="P278" s="164"/>
      <c r="Q278" s="164"/>
      <c r="R278" s="70"/>
      <c r="S278" s="70"/>
      <c r="T278" s="70"/>
      <c r="U278" s="70"/>
      <c r="V278" s="70"/>
      <c r="W278" s="70"/>
      <c r="X278" s="70"/>
      <c r="Y278" s="95">
        <f>SUM(C278:X278)</f>
        <v>0</v>
      </c>
    </row>
    <row r="279" spans="1:25" ht="21" customHeight="1">
      <c r="A279" s="93">
        <v>331300</v>
      </c>
      <c r="B279" s="68" t="s">
        <v>199</v>
      </c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164"/>
      <c r="P279" s="164"/>
      <c r="Q279" s="164"/>
      <c r="R279" s="70"/>
      <c r="S279" s="70"/>
      <c r="T279" s="70"/>
      <c r="U279" s="70"/>
      <c r="V279" s="70"/>
      <c r="W279" s="70"/>
      <c r="X279" s="70"/>
      <c r="Y279" s="95">
        <f t="shared" ref="Y279:Y283" si="66">SUM(C279:X279)</f>
        <v>0</v>
      </c>
    </row>
    <row r="280" spans="1:25" ht="21" customHeight="1">
      <c r="A280" s="93">
        <v>331400</v>
      </c>
      <c r="B280" s="68" t="s">
        <v>196</v>
      </c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164"/>
      <c r="P280" s="164"/>
      <c r="Q280" s="164"/>
      <c r="R280" s="70"/>
      <c r="S280" s="70"/>
      <c r="T280" s="70"/>
      <c r="U280" s="70"/>
      <c r="V280" s="70"/>
      <c r="W280" s="70"/>
      <c r="X280" s="70"/>
      <c r="Y280" s="95">
        <f t="shared" si="66"/>
        <v>0</v>
      </c>
    </row>
    <row r="281" spans="1:25" ht="21" customHeight="1">
      <c r="A281" s="93">
        <v>331500</v>
      </c>
      <c r="B281" s="68" t="s">
        <v>200</v>
      </c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164"/>
      <c r="P281" s="164"/>
      <c r="Q281" s="164"/>
      <c r="R281" s="70"/>
      <c r="S281" s="70"/>
      <c r="T281" s="70"/>
      <c r="U281" s="70"/>
      <c r="V281" s="70"/>
      <c r="W281" s="70"/>
      <c r="X281" s="70"/>
      <c r="Y281" s="95">
        <f t="shared" si="66"/>
        <v>0</v>
      </c>
    </row>
    <row r="282" spans="1:25" ht="21" customHeight="1">
      <c r="A282" s="96">
        <v>331700</v>
      </c>
      <c r="B282" s="69" t="s">
        <v>201</v>
      </c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165"/>
      <c r="P282" s="165"/>
      <c r="Q282" s="165"/>
      <c r="R282" s="76"/>
      <c r="S282" s="76"/>
      <c r="T282" s="76"/>
      <c r="U282" s="76"/>
      <c r="V282" s="76"/>
      <c r="W282" s="76"/>
      <c r="X282" s="76"/>
      <c r="Y282" s="95">
        <f t="shared" si="66"/>
        <v>0</v>
      </c>
    </row>
    <row r="283" spans="1:25" ht="21" customHeight="1">
      <c r="A283" s="432" t="s">
        <v>391</v>
      </c>
      <c r="B283" s="433"/>
      <c r="C283" s="100"/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67"/>
      <c r="P283" s="167"/>
      <c r="Q283" s="167"/>
      <c r="R283" s="100"/>
      <c r="S283" s="100"/>
      <c r="T283" s="100"/>
      <c r="U283" s="100"/>
      <c r="V283" s="100"/>
      <c r="W283" s="100"/>
      <c r="X283" s="100"/>
      <c r="Y283" s="101">
        <f t="shared" si="66"/>
        <v>0</v>
      </c>
    </row>
    <row r="284" spans="1:25" ht="21" customHeight="1">
      <c r="A284" s="93">
        <v>340100</v>
      </c>
      <c r="B284" s="68" t="s">
        <v>202</v>
      </c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164"/>
      <c r="P284" s="164"/>
      <c r="Q284" s="164"/>
      <c r="R284" s="70"/>
      <c r="S284" s="70"/>
      <c r="T284" s="70"/>
      <c r="U284" s="70"/>
      <c r="V284" s="70"/>
      <c r="W284" s="70"/>
      <c r="X284" s="70"/>
      <c r="Y284" s="95">
        <f>SUM(C284:X284)</f>
        <v>0</v>
      </c>
    </row>
    <row r="285" spans="1:25" ht="21" customHeight="1">
      <c r="A285" s="93">
        <v>340300</v>
      </c>
      <c r="B285" s="68" t="s">
        <v>203</v>
      </c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164"/>
      <c r="P285" s="164"/>
      <c r="Q285" s="164"/>
      <c r="R285" s="70"/>
      <c r="S285" s="70"/>
      <c r="T285" s="70"/>
      <c r="U285" s="70"/>
      <c r="V285" s="70"/>
      <c r="W285" s="70"/>
      <c r="X285" s="70"/>
      <c r="Y285" s="95">
        <f t="shared" ref="Y285:Y300" si="67">SUM(C285:X285)</f>
        <v>0</v>
      </c>
    </row>
    <row r="286" spans="1:25" ht="21" customHeight="1">
      <c r="A286" s="93">
        <v>340400</v>
      </c>
      <c r="B286" s="68" t="s">
        <v>204</v>
      </c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164"/>
      <c r="P286" s="164"/>
      <c r="Q286" s="164"/>
      <c r="R286" s="70"/>
      <c r="S286" s="70"/>
      <c r="T286" s="70"/>
      <c r="U286" s="70"/>
      <c r="V286" s="70"/>
      <c r="W286" s="70"/>
      <c r="X286" s="70"/>
      <c r="Y286" s="95">
        <f t="shared" si="67"/>
        <v>0</v>
      </c>
    </row>
    <row r="287" spans="1:25" ht="21" customHeight="1">
      <c r="A287" s="96">
        <v>340500</v>
      </c>
      <c r="B287" s="69" t="s">
        <v>205</v>
      </c>
      <c r="C287" s="70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165"/>
      <c r="P287" s="165"/>
      <c r="Q287" s="165"/>
      <c r="R287" s="76"/>
      <c r="S287" s="76"/>
      <c r="T287" s="76"/>
      <c r="U287" s="76"/>
      <c r="V287" s="76"/>
      <c r="W287" s="76"/>
      <c r="X287" s="76"/>
      <c r="Y287" s="98">
        <f t="shared" si="67"/>
        <v>0</v>
      </c>
    </row>
    <row r="288" spans="1:25" ht="21" customHeight="1">
      <c r="A288" s="432" t="s">
        <v>392</v>
      </c>
      <c r="B288" s="433"/>
      <c r="C288" s="100"/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67"/>
      <c r="P288" s="167"/>
      <c r="Q288" s="167"/>
      <c r="R288" s="100"/>
      <c r="S288" s="100"/>
      <c r="T288" s="100"/>
      <c r="U288" s="100"/>
      <c r="V288" s="100"/>
      <c r="W288" s="100"/>
      <c r="X288" s="100"/>
      <c r="Y288" s="101">
        <f t="shared" si="67"/>
        <v>0</v>
      </c>
    </row>
    <row r="289" spans="1:25" ht="21" customHeight="1">
      <c r="A289" s="93">
        <v>410400</v>
      </c>
      <c r="B289" s="68" t="s">
        <v>206</v>
      </c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164"/>
      <c r="P289" s="164"/>
      <c r="Q289" s="164"/>
      <c r="R289" s="70"/>
      <c r="S289" s="70"/>
      <c r="T289" s="70"/>
      <c r="U289" s="70"/>
      <c r="V289" s="70"/>
      <c r="W289" s="70"/>
      <c r="X289" s="70"/>
      <c r="Y289" s="95">
        <f t="shared" si="67"/>
        <v>0</v>
      </c>
    </row>
    <row r="290" spans="1:25" ht="21" customHeight="1">
      <c r="A290" s="93">
        <v>410200</v>
      </c>
      <c r="B290" s="68" t="s">
        <v>224</v>
      </c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164"/>
      <c r="P290" s="164"/>
      <c r="Q290" s="164"/>
      <c r="R290" s="70"/>
      <c r="S290" s="70"/>
      <c r="T290" s="70"/>
      <c r="U290" s="70"/>
      <c r="V290" s="70"/>
      <c r="W290" s="70"/>
      <c r="X290" s="70"/>
      <c r="Y290" s="95">
        <f t="shared" si="67"/>
        <v>0</v>
      </c>
    </row>
    <row r="291" spans="1:25" ht="21" customHeight="1">
      <c r="A291" s="93">
        <v>410300</v>
      </c>
      <c r="B291" s="68" t="s">
        <v>207</v>
      </c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164"/>
      <c r="P291" s="164"/>
      <c r="Q291" s="164"/>
      <c r="R291" s="70"/>
      <c r="S291" s="70"/>
      <c r="T291" s="70"/>
      <c r="U291" s="70"/>
      <c r="V291" s="70"/>
      <c r="W291" s="70"/>
      <c r="X291" s="70"/>
      <c r="Y291" s="95">
        <f t="shared" si="67"/>
        <v>0</v>
      </c>
    </row>
    <row r="292" spans="1:25" ht="21" customHeight="1">
      <c r="A292" s="93">
        <v>410400</v>
      </c>
      <c r="B292" s="68" t="s">
        <v>225</v>
      </c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165"/>
      <c r="P292" s="165"/>
      <c r="Q292" s="165"/>
      <c r="R292" s="76"/>
      <c r="S292" s="76"/>
      <c r="T292" s="76"/>
      <c r="U292" s="76"/>
      <c r="V292" s="76"/>
      <c r="W292" s="76"/>
      <c r="X292" s="76"/>
      <c r="Y292" s="95">
        <f t="shared" si="67"/>
        <v>0</v>
      </c>
    </row>
    <row r="293" spans="1:25" ht="21" customHeight="1">
      <c r="A293" s="93">
        <v>410500</v>
      </c>
      <c r="B293" s="68" t="s">
        <v>226</v>
      </c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165"/>
      <c r="P293" s="165"/>
      <c r="Q293" s="165"/>
      <c r="R293" s="76"/>
      <c r="S293" s="76"/>
      <c r="T293" s="76"/>
      <c r="U293" s="76"/>
      <c r="V293" s="76"/>
      <c r="W293" s="76"/>
      <c r="X293" s="76"/>
      <c r="Y293" s="95">
        <f t="shared" si="67"/>
        <v>0</v>
      </c>
    </row>
    <row r="294" spans="1:25" ht="21" customHeight="1">
      <c r="A294" s="93">
        <v>410600</v>
      </c>
      <c r="B294" s="68" t="s">
        <v>227</v>
      </c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165"/>
      <c r="P294" s="165"/>
      <c r="Q294" s="165"/>
      <c r="R294" s="76"/>
      <c r="S294" s="76"/>
      <c r="T294" s="76"/>
      <c r="U294" s="76"/>
      <c r="V294" s="76"/>
      <c r="W294" s="76"/>
      <c r="X294" s="76"/>
      <c r="Y294" s="95">
        <f t="shared" si="67"/>
        <v>0</v>
      </c>
    </row>
    <row r="295" spans="1:25" ht="21" customHeight="1">
      <c r="A295" s="93">
        <v>410700</v>
      </c>
      <c r="B295" s="68" t="s">
        <v>208</v>
      </c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164"/>
      <c r="P295" s="164"/>
      <c r="Q295" s="164"/>
      <c r="R295" s="70"/>
      <c r="S295" s="70"/>
      <c r="T295" s="70"/>
      <c r="U295" s="70"/>
      <c r="V295" s="70"/>
      <c r="W295" s="70"/>
      <c r="X295" s="70"/>
      <c r="Y295" s="95">
        <f t="shared" si="67"/>
        <v>0</v>
      </c>
    </row>
    <row r="296" spans="1:25" ht="21" customHeight="1">
      <c r="A296" s="93">
        <v>410800</v>
      </c>
      <c r="B296" s="68" t="s">
        <v>228</v>
      </c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165"/>
      <c r="P296" s="165"/>
      <c r="Q296" s="165"/>
      <c r="R296" s="76"/>
      <c r="S296" s="76"/>
      <c r="T296" s="76"/>
      <c r="U296" s="76"/>
      <c r="V296" s="76"/>
      <c r="W296" s="76"/>
      <c r="X296" s="76"/>
      <c r="Y296" s="95">
        <f t="shared" si="67"/>
        <v>0</v>
      </c>
    </row>
    <row r="297" spans="1:25" ht="21" customHeight="1">
      <c r="A297" s="93">
        <v>410900</v>
      </c>
      <c r="B297" s="68" t="s">
        <v>243</v>
      </c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165"/>
      <c r="P297" s="165"/>
      <c r="Q297" s="165"/>
      <c r="R297" s="76"/>
      <c r="S297" s="76"/>
      <c r="T297" s="76"/>
      <c r="U297" s="76"/>
      <c r="V297" s="76"/>
      <c r="W297" s="76"/>
      <c r="X297" s="76"/>
      <c r="Y297" s="95">
        <f t="shared" si="67"/>
        <v>0</v>
      </c>
    </row>
    <row r="298" spans="1:25" ht="21" customHeight="1">
      <c r="A298" s="93">
        <v>411000</v>
      </c>
      <c r="B298" s="68" t="s">
        <v>295</v>
      </c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165"/>
      <c r="P298" s="165"/>
      <c r="Q298" s="165"/>
      <c r="R298" s="76"/>
      <c r="S298" s="76"/>
      <c r="T298" s="76"/>
      <c r="U298" s="76"/>
      <c r="V298" s="76"/>
      <c r="W298" s="76"/>
      <c r="X298" s="76"/>
      <c r="Y298" s="95">
        <f t="shared" si="67"/>
        <v>0</v>
      </c>
    </row>
    <row r="299" spans="1:25" ht="21" customHeight="1">
      <c r="A299" s="93">
        <v>411100</v>
      </c>
      <c r="B299" s="68" t="s">
        <v>260</v>
      </c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165"/>
      <c r="P299" s="165"/>
      <c r="Q299" s="165"/>
      <c r="R299" s="76"/>
      <c r="S299" s="76"/>
      <c r="T299" s="76"/>
      <c r="U299" s="76"/>
      <c r="V299" s="76"/>
      <c r="W299" s="76"/>
      <c r="X299" s="76"/>
      <c r="Y299" s="95">
        <f t="shared" si="67"/>
        <v>0</v>
      </c>
    </row>
    <row r="300" spans="1:25" ht="21" customHeight="1">
      <c r="A300" s="93">
        <v>411300</v>
      </c>
      <c r="B300" s="68" t="s">
        <v>296</v>
      </c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165"/>
      <c r="P300" s="165"/>
      <c r="Q300" s="165"/>
      <c r="R300" s="76"/>
      <c r="S300" s="76"/>
      <c r="T300" s="76"/>
      <c r="U300" s="76"/>
      <c r="V300" s="76"/>
      <c r="W300" s="76"/>
      <c r="X300" s="76"/>
      <c r="Y300" s="95">
        <f t="shared" si="67"/>
        <v>0</v>
      </c>
    </row>
    <row r="301" spans="1:25" ht="21" customHeight="1">
      <c r="A301" s="93">
        <v>411600</v>
      </c>
      <c r="B301" s="68" t="s">
        <v>229</v>
      </c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164"/>
      <c r="P301" s="164"/>
      <c r="Q301" s="164"/>
      <c r="R301" s="70"/>
      <c r="S301" s="70"/>
      <c r="T301" s="70"/>
      <c r="U301" s="70"/>
      <c r="V301" s="70"/>
      <c r="W301" s="70"/>
      <c r="X301" s="70"/>
      <c r="Y301" s="95">
        <f>SUM(C301:X301)</f>
        <v>0</v>
      </c>
    </row>
    <row r="302" spans="1:25" ht="21" customHeight="1">
      <c r="A302" s="93">
        <v>411800</v>
      </c>
      <c r="B302" s="68" t="s">
        <v>209</v>
      </c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164"/>
      <c r="P302" s="164"/>
      <c r="Q302" s="164"/>
      <c r="R302" s="70"/>
      <c r="S302" s="70"/>
      <c r="T302" s="70"/>
      <c r="U302" s="70"/>
      <c r="V302" s="70"/>
      <c r="W302" s="70">
        <v>0</v>
      </c>
      <c r="X302" s="70"/>
      <c r="Y302" s="95">
        <f>SUM(C302:X302)</f>
        <v>0</v>
      </c>
    </row>
    <row r="303" spans="1:25" ht="21" customHeight="1">
      <c r="A303" s="435" t="s">
        <v>139</v>
      </c>
      <c r="B303" s="435"/>
      <c r="C303" s="434" t="s">
        <v>141</v>
      </c>
      <c r="D303" s="434"/>
      <c r="E303" s="437" t="s">
        <v>144</v>
      </c>
      <c r="F303" s="438"/>
      <c r="G303" s="434" t="s">
        <v>146</v>
      </c>
      <c r="H303" s="435"/>
      <c r="I303" s="437" t="s">
        <v>160</v>
      </c>
      <c r="J303" s="438"/>
      <c r="K303" s="359" t="s">
        <v>161</v>
      </c>
      <c r="L303" s="437" t="s">
        <v>162</v>
      </c>
      <c r="M303" s="439"/>
      <c r="N303" s="439"/>
      <c r="O303" s="438"/>
      <c r="P303" s="437" t="s">
        <v>163</v>
      </c>
      <c r="Q303" s="438"/>
      <c r="R303" s="437" t="s">
        <v>164</v>
      </c>
      <c r="S303" s="439"/>
      <c r="T303" s="438"/>
      <c r="U303" s="434" t="s">
        <v>165</v>
      </c>
      <c r="V303" s="435"/>
      <c r="W303" s="359" t="s">
        <v>212</v>
      </c>
      <c r="X303" s="359" t="s">
        <v>166</v>
      </c>
      <c r="Y303" s="436" t="s">
        <v>17</v>
      </c>
    </row>
    <row r="304" spans="1:25" ht="21" customHeight="1">
      <c r="A304" s="435" t="s">
        <v>140</v>
      </c>
      <c r="B304" s="435"/>
      <c r="C304" s="359" t="s">
        <v>142</v>
      </c>
      <c r="D304" s="359" t="s">
        <v>143</v>
      </c>
      <c r="E304" s="359" t="s">
        <v>145</v>
      </c>
      <c r="F304" s="359" t="s">
        <v>214</v>
      </c>
      <c r="G304" s="359" t="s">
        <v>147</v>
      </c>
      <c r="H304" s="359" t="s">
        <v>148</v>
      </c>
      <c r="I304" s="359" t="s">
        <v>149</v>
      </c>
      <c r="J304" s="359" t="s">
        <v>150</v>
      </c>
      <c r="K304" s="359" t="s">
        <v>151</v>
      </c>
      <c r="L304" s="359" t="s">
        <v>152</v>
      </c>
      <c r="M304" s="359" t="s">
        <v>153</v>
      </c>
      <c r="N304" s="359" t="s">
        <v>238</v>
      </c>
      <c r="O304" s="269" t="s">
        <v>331</v>
      </c>
      <c r="P304" s="360" t="s">
        <v>303</v>
      </c>
      <c r="Q304" s="360" t="s">
        <v>154</v>
      </c>
      <c r="R304" s="359" t="s">
        <v>155</v>
      </c>
      <c r="S304" s="359" t="s">
        <v>156</v>
      </c>
      <c r="T304" s="359" t="s">
        <v>216</v>
      </c>
      <c r="U304" s="359" t="s">
        <v>157</v>
      </c>
      <c r="V304" s="359" t="s">
        <v>158</v>
      </c>
      <c r="W304" s="359" t="s">
        <v>213</v>
      </c>
      <c r="X304" s="359" t="s">
        <v>159</v>
      </c>
      <c r="Y304" s="436"/>
    </row>
    <row r="305" spans="1:25" ht="21" customHeight="1">
      <c r="A305" s="432" t="s">
        <v>393</v>
      </c>
      <c r="B305" s="433"/>
      <c r="C305" s="100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67"/>
      <c r="P305" s="167"/>
      <c r="Q305" s="167"/>
      <c r="R305" s="100"/>
      <c r="S305" s="100"/>
      <c r="T305" s="100"/>
      <c r="U305" s="100"/>
      <c r="V305" s="100"/>
      <c r="W305" s="100"/>
      <c r="X305" s="100"/>
      <c r="Y305" s="101">
        <f>SUM(C305:X305)</f>
        <v>0</v>
      </c>
    </row>
    <row r="306" spans="1:25" ht="21" customHeight="1">
      <c r="A306" s="93">
        <v>420700</v>
      </c>
      <c r="B306" s="94" t="s">
        <v>394</v>
      </c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164"/>
      <c r="P306" s="164"/>
      <c r="Q306" s="164"/>
      <c r="R306" s="70"/>
      <c r="S306" s="70"/>
      <c r="T306" s="70"/>
      <c r="U306" s="70"/>
      <c r="V306" s="70"/>
      <c r="W306" s="70"/>
      <c r="X306" s="70"/>
      <c r="Y306" s="95">
        <f>SUM(C306:X306)</f>
        <v>0</v>
      </c>
    </row>
    <row r="307" spans="1:25" ht="21" customHeight="1">
      <c r="A307" s="96">
        <v>421000</v>
      </c>
      <c r="B307" s="97" t="s">
        <v>395</v>
      </c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165"/>
      <c r="P307" s="165"/>
      <c r="Q307" s="165"/>
      <c r="R307" s="76"/>
      <c r="S307" s="76"/>
      <c r="T307" s="76"/>
      <c r="U307" s="76"/>
      <c r="V307" s="76"/>
      <c r="W307" s="76"/>
      <c r="X307" s="76"/>
      <c r="Y307" s="95">
        <f t="shared" ref="Y307:Y310" si="68">SUM(C307:X307)</f>
        <v>0</v>
      </c>
    </row>
    <row r="308" spans="1:25" ht="21" customHeight="1">
      <c r="A308" s="96">
        <v>421100</v>
      </c>
      <c r="B308" s="97" t="s">
        <v>211</v>
      </c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165"/>
      <c r="P308" s="165"/>
      <c r="Q308" s="165"/>
      <c r="R308" s="76"/>
      <c r="S308" s="76"/>
      <c r="T308" s="76"/>
      <c r="U308" s="76"/>
      <c r="V308" s="76"/>
      <c r="W308" s="76"/>
      <c r="X308" s="76"/>
      <c r="Y308" s="95">
        <f t="shared" si="68"/>
        <v>0</v>
      </c>
    </row>
    <row r="309" spans="1:25" ht="21" customHeight="1">
      <c r="A309" s="432" t="s">
        <v>397</v>
      </c>
      <c r="B309" s="433"/>
      <c r="C309" s="100"/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67"/>
      <c r="P309" s="167"/>
      <c r="Q309" s="167"/>
      <c r="R309" s="100"/>
      <c r="S309" s="100"/>
      <c r="T309" s="100"/>
      <c r="U309" s="100"/>
      <c r="V309" s="100"/>
      <c r="W309" s="100"/>
      <c r="X309" s="100"/>
      <c r="Y309" s="101">
        <f t="shared" si="68"/>
        <v>0</v>
      </c>
    </row>
    <row r="310" spans="1:25" ht="21" customHeight="1">
      <c r="A310" s="93">
        <v>510100</v>
      </c>
      <c r="B310" s="102" t="s">
        <v>12</v>
      </c>
      <c r="C310" s="70">
        <v>-20000</v>
      </c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164"/>
      <c r="P310" s="164"/>
      <c r="Q310" s="164"/>
      <c r="R310" s="70"/>
      <c r="S310" s="70"/>
      <c r="T310" s="70"/>
      <c r="U310" s="70"/>
      <c r="V310" s="70"/>
      <c r="W310" s="70"/>
      <c r="X310" s="70"/>
      <c r="Y310" s="95">
        <f t="shared" si="68"/>
        <v>-20000</v>
      </c>
    </row>
    <row r="311" spans="1:25" ht="21" customHeight="1">
      <c r="A311" s="432" t="s">
        <v>396</v>
      </c>
      <c r="B311" s="433"/>
      <c r="C311" s="100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67"/>
      <c r="P311" s="167"/>
      <c r="Q311" s="167"/>
      <c r="R311" s="100"/>
      <c r="S311" s="100"/>
      <c r="T311" s="100"/>
      <c r="U311" s="100"/>
      <c r="V311" s="100"/>
      <c r="W311" s="100"/>
      <c r="X311" s="100"/>
      <c r="Y311" s="101">
        <f>SUM(C311:X311)</f>
        <v>0</v>
      </c>
    </row>
    <row r="312" spans="1:25" ht="21" customHeight="1">
      <c r="A312" s="93">
        <v>610100</v>
      </c>
      <c r="B312" s="94" t="s">
        <v>398</v>
      </c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164"/>
      <c r="P312" s="164"/>
      <c r="Q312" s="164"/>
      <c r="R312" s="70"/>
      <c r="S312" s="70"/>
      <c r="T312" s="70"/>
      <c r="U312" s="70"/>
      <c r="V312" s="70"/>
      <c r="W312" s="70"/>
      <c r="X312" s="70"/>
      <c r="Y312" s="95">
        <f>SUM(C312:X312)</f>
        <v>0</v>
      </c>
    </row>
    <row r="313" spans="1:25" ht="21" customHeight="1">
      <c r="A313" s="96">
        <v>610200</v>
      </c>
      <c r="B313" s="97" t="s">
        <v>399</v>
      </c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165"/>
      <c r="P313" s="165"/>
      <c r="Q313" s="165"/>
      <c r="R313" s="76"/>
      <c r="S313" s="76"/>
      <c r="T313" s="76"/>
      <c r="U313" s="76"/>
      <c r="V313" s="76"/>
      <c r="W313" s="76"/>
      <c r="X313" s="76"/>
      <c r="Y313" s="95">
        <f t="shared" ref="Y313" si="69">SUM(C313:X313)</f>
        <v>0</v>
      </c>
    </row>
    <row r="314" spans="1:25" ht="21" customHeight="1">
      <c r="A314" s="96">
        <v>610300</v>
      </c>
      <c r="B314" s="97" t="s">
        <v>400</v>
      </c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165"/>
      <c r="P314" s="165"/>
      <c r="Q314" s="165"/>
      <c r="R314" s="76"/>
      <c r="S314" s="76"/>
      <c r="T314" s="76"/>
      <c r="U314" s="76"/>
      <c r="V314" s="76"/>
      <c r="W314" s="76"/>
      <c r="X314" s="76"/>
      <c r="Y314" s="95">
        <f>SUM(C314:X314)</f>
        <v>0</v>
      </c>
    </row>
    <row r="315" spans="1:25" ht="21" customHeight="1">
      <c r="A315" s="333">
        <v>610400</v>
      </c>
      <c r="B315" s="334" t="s">
        <v>401</v>
      </c>
      <c r="C315" s="239"/>
      <c r="D315" s="239"/>
      <c r="E315" s="239"/>
      <c r="F315" s="239"/>
      <c r="G315" s="239"/>
      <c r="H315" s="239"/>
      <c r="I315" s="239"/>
      <c r="J315" s="239"/>
      <c r="K315" s="239"/>
      <c r="L315" s="239"/>
      <c r="M315" s="239"/>
      <c r="N315" s="239"/>
      <c r="O315" s="335"/>
      <c r="P315" s="335"/>
      <c r="Q315" s="335"/>
      <c r="R315" s="239"/>
      <c r="S315" s="239"/>
      <c r="T315" s="239"/>
      <c r="U315" s="239"/>
      <c r="V315" s="239"/>
      <c r="W315" s="239"/>
      <c r="X315" s="239"/>
      <c r="Y315" s="99">
        <f t="shared" ref="Y315" si="70">SUM(C315:X315)</f>
        <v>0</v>
      </c>
    </row>
    <row r="316" spans="1:25" ht="21" customHeight="1">
      <c r="A316" s="440" t="s">
        <v>253</v>
      </c>
      <c r="B316" s="440"/>
      <c r="C316" s="440"/>
      <c r="D316" s="440"/>
      <c r="E316" s="440"/>
      <c r="F316" s="440"/>
      <c r="G316" s="440"/>
      <c r="H316" s="440"/>
      <c r="I316" s="440"/>
      <c r="J316" s="440"/>
      <c r="K316" s="440"/>
      <c r="L316" s="440"/>
      <c r="M316" s="440"/>
      <c r="N316" s="440"/>
      <c r="O316" s="372"/>
      <c r="P316" s="441" t="str">
        <f>+A316</f>
        <v>เทศบาลตำบลเขาพระ อำเภอพิปูน จังหวัดนครศรีธรรมราช</v>
      </c>
      <c r="Q316" s="441"/>
      <c r="R316" s="441"/>
      <c r="S316" s="441"/>
      <c r="T316" s="441"/>
      <c r="U316" s="441"/>
      <c r="V316" s="441"/>
      <c r="W316" s="441"/>
      <c r="X316" s="441"/>
      <c r="Y316" s="441"/>
    </row>
    <row r="317" spans="1:25" ht="21" customHeight="1">
      <c r="A317" s="440" t="s">
        <v>406</v>
      </c>
      <c r="B317" s="440"/>
      <c r="C317" s="440"/>
      <c r="D317" s="440"/>
      <c r="E317" s="440"/>
      <c r="F317" s="440"/>
      <c r="G317" s="440"/>
      <c r="H317" s="440"/>
      <c r="I317" s="440"/>
      <c r="J317" s="440"/>
      <c r="K317" s="440"/>
      <c r="L317" s="440"/>
      <c r="M317" s="440"/>
      <c r="N317" s="440"/>
      <c r="O317" s="372"/>
      <c r="P317" s="442" t="s">
        <v>384</v>
      </c>
      <c r="Q317" s="442"/>
      <c r="R317" s="442"/>
      <c r="S317" s="442"/>
      <c r="T317" s="442"/>
      <c r="U317" s="442"/>
      <c r="V317" s="442"/>
      <c r="W317" s="442"/>
      <c r="X317" s="442"/>
      <c r="Y317" s="442"/>
    </row>
    <row r="318" spans="1:25" ht="21" customHeight="1">
      <c r="A318" s="440" t="s">
        <v>467</v>
      </c>
      <c r="B318" s="440"/>
      <c r="C318" s="440"/>
      <c r="D318" s="440"/>
      <c r="E318" s="440"/>
      <c r="F318" s="440"/>
      <c r="G318" s="440"/>
      <c r="H318" s="440"/>
      <c r="I318" s="440"/>
      <c r="J318" s="440"/>
      <c r="K318" s="440"/>
      <c r="L318" s="440"/>
      <c r="M318" s="440"/>
      <c r="N318" s="440"/>
      <c r="O318" s="372"/>
      <c r="P318" s="442" t="s">
        <v>453</v>
      </c>
      <c r="Q318" s="442"/>
      <c r="R318" s="442"/>
      <c r="S318" s="442"/>
      <c r="T318" s="442"/>
      <c r="U318" s="442"/>
      <c r="V318" s="442"/>
      <c r="W318" s="442"/>
      <c r="X318" s="442"/>
      <c r="Y318" s="442"/>
    </row>
    <row r="319" spans="1:25" ht="21" customHeight="1">
      <c r="A319" s="440" t="s">
        <v>407</v>
      </c>
      <c r="B319" s="440"/>
      <c r="C319" s="440"/>
      <c r="D319" s="440"/>
      <c r="E319" s="440"/>
      <c r="F319" s="440"/>
      <c r="G319" s="440"/>
      <c r="H319" s="440"/>
      <c r="I319" s="440"/>
      <c r="J319" s="440"/>
      <c r="K319" s="440"/>
      <c r="L319" s="440"/>
      <c r="M319" s="440"/>
      <c r="N319" s="440"/>
      <c r="O319" s="316"/>
      <c r="P319" s="442" t="s">
        <v>407</v>
      </c>
      <c r="Q319" s="442"/>
      <c r="R319" s="442"/>
      <c r="S319" s="442"/>
      <c r="T319" s="442"/>
      <c r="U319" s="442"/>
      <c r="V319" s="442"/>
      <c r="W319" s="442"/>
      <c r="X319" s="442"/>
      <c r="Y319" s="442"/>
    </row>
    <row r="320" spans="1:25" ht="21" customHeight="1">
      <c r="A320" s="443" t="s">
        <v>408</v>
      </c>
      <c r="B320" s="443"/>
      <c r="C320" s="443"/>
      <c r="D320" s="443"/>
      <c r="E320" s="443"/>
      <c r="F320" s="443"/>
      <c r="G320" s="443"/>
      <c r="H320" s="443"/>
      <c r="I320" s="443"/>
      <c r="J320" s="443"/>
      <c r="K320" s="443"/>
      <c r="L320" s="443"/>
      <c r="M320" s="443"/>
      <c r="N320" s="443"/>
      <c r="O320" s="317"/>
      <c r="P320" s="444" t="s">
        <v>408</v>
      </c>
      <c r="Q320" s="444"/>
      <c r="R320" s="444"/>
      <c r="S320" s="444"/>
      <c r="T320" s="444"/>
      <c r="U320" s="444"/>
      <c r="V320" s="444"/>
      <c r="W320" s="444"/>
      <c r="X320" s="444"/>
      <c r="Y320" s="444"/>
    </row>
    <row r="321" spans="1:25" ht="21" customHeight="1">
      <c r="A321" s="435" t="s">
        <v>139</v>
      </c>
      <c r="B321" s="435"/>
      <c r="C321" s="434" t="s">
        <v>141</v>
      </c>
      <c r="D321" s="434"/>
      <c r="E321" s="437" t="s">
        <v>144</v>
      </c>
      <c r="F321" s="438"/>
      <c r="G321" s="434" t="s">
        <v>146</v>
      </c>
      <c r="H321" s="435"/>
      <c r="I321" s="437" t="s">
        <v>160</v>
      </c>
      <c r="J321" s="438"/>
      <c r="K321" s="370" t="s">
        <v>161</v>
      </c>
      <c r="L321" s="437" t="s">
        <v>162</v>
      </c>
      <c r="M321" s="439"/>
      <c r="N321" s="439"/>
      <c r="O321" s="438"/>
      <c r="P321" s="437" t="s">
        <v>163</v>
      </c>
      <c r="Q321" s="438"/>
      <c r="R321" s="437" t="s">
        <v>164</v>
      </c>
      <c r="S321" s="439"/>
      <c r="T321" s="438"/>
      <c r="U321" s="434" t="s">
        <v>165</v>
      </c>
      <c r="V321" s="435"/>
      <c r="W321" s="370" t="s">
        <v>212</v>
      </c>
      <c r="X321" s="370" t="s">
        <v>166</v>
      </c>
      <c r="Y321" s="436" t="s">
        <v>17</v>
      </c>
    </row>
    <row r="322" spans="1:25" ht="21" customHeight="1">
      <c r="A322" s="435" t="s">
        <v>140</v>
      </c>
      <c r="B322" s="435"/>
      <c r="C322" s="370" t="s">
        <v>142</v>
      </c>
      <c r="D322" s="370" t="s">
        <v>143</v>
      </c>
      <c r="E322" s="370" t="s">
        <v>145</v>
      </c>
      <c r="F322" s="370" t="s">
        <v>214</v>
      </c>
      <c r="G322" s="370" t="s">
        <v>147</v>
      </c>
      <c r="H322" s="370" t="s">
        <v>148</v>
      </c>
      <c r="I322" s="370" t="s">
        <v>149</v>
      </c>
      <c r="J322" s="370" t="s">
        <v>150</v>
      </c>
      <c r="K322" s="370" t="s">
        <v>151</v>
      </c>
      <c r="L322" s="370" t="s">
        <v>152</v>
      </c>
      <c r="M322" s="370" t="s">
        <v>153</v>
      </c>
      <c r="N322" s="370" t="s">
        <v>238</v>
      </c>
      <c r="O322" s="370" t="s">
        <v>331</v>
      </c>
      <c r="P322" s="371" t="s">
        <v>303</v>
      </c>
      <c r="Q322" s="371" t="s">
        <v>154</v>
      </c>
      <c r="R322" s="370" t="s">
        <v>155</v>
      </c>
      <c r="S322" s="370" t="s">
        <v>156</v>
      </c>
      <c r="T322" s="370" t="s">
        <v>216</v>
      </c>
      <c r="U322" s="370" t="s">
        <v>157</v>
      </c>
      <c r="V322" s="370" t="s">
        <v>158</v>
      </c>
      <c r="W322" s="370" t="s">
        <v>213</v>
      </c>
      <c r="X322" s="370" t="s">
        <v>159</v>
      </c>
      <c r="Y322" s="436"/>
    </row>
    <row r="323" spans="1:25" ht="21" customHeight="1">
      <c r="A323" s="432" t="s">
        <v>385</v>
      </c>
      <c r="B323" s="433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163"/>
      <c r="P323" s="163"/>
      <c r="Q323" s="163"/>
      <c r="R323" s="92"/>
      <c r="S323" s="92"/>
      <c r="T323" s="92"/>
      <c r="U323" s="92"/>
      <c r="V323" s="92"/>
      <c r="W323" s="92"/>
      <c r="X323" s="92"/>
      <c r="Y323" s="92"/>
    </row>
    <row r="324" spans="1:25" ht="21" customHeight="1">
      <c r="A324" s="314">
        <v>110100</v>
      </c>
      <c r="B324" s="311" t="s">
        <v>342</v>
      </c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3"/>
      <c r="P324" s="313"/>
      <c r="Q324" s="313"/>
      <c r="R324" s="312"/>
      <c r="S324" s="312"/>
      <c r="T324" s="312"/>
      <c r="U324" s="312"/>
      <c r="V324" s="312"/>
      <c r="W324" s="312"/>
      <c r="X324" s="312"/>
      <c r="Y324" s="95">
        <f>SUM(C324:X324)</f>
        <v>0</v>
      </c>
    </row>
    <row r="325" spans="1:25" ht="21" customHeight="1">
      <c r="A325" s="314">
        <v>110200</v>
      </c>
      <c r="B325" s="311" t="s">
        <v>329</v>
      </c>
      <c r="C325" s="312"/>
      <c r="D325" s="312"/>
      <c r="E325" s="312"/>
      <c r="F325" s="312"/>
      <c r="G325" s="312"/>
      <c r="H325" s="312"/>
      <c r="I325" s="312"/>
      <c r="J325" s="312"/>
      <c r="K325" s="312"/>
      <c r="L325" s="312"/>
      <c r="M325" s="312"/>
      <c r="N325" s="312"/>
      <c r="O325" s="313"/>
      <c r="P325" s="313"/>
      <c r="Q325" s="313"/>
      <c r="R325" s="312"/>
      <c r="S325" s="312"/>
      <c r="T325" s="312"/>
      <c r="U325" s="312"/>
      <c r="V325" s="312"/>
      <c r="W325" s="312"/>
      <c r="X325" s="312"/>
      <c r="Y325" s="95">
        <f t="shared" ref="Y325" si="71">SUM(C325:X325)</f>
        <v>0</v>
      </c>
    </row>
    <row r="326" spans="1:25" ht="21" customHeight="1">
      <c r="A326" s="93">
        <v>110300</v>
      </c>
      <c r="B326" s="94" t="s">
        <v>167</v>
      </c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164"/>
      <c r="P326" s="164"/>
      <c r="Q326" s="164"/>
      <c r="R326" s="70"/>
      <c r="S326" s="70"/>
      <c r="T326" s="70"/>
      <c r="U326" s="70"/>
      <c r="V326" s="70"/>
      <c r="W326" s="70"/>
      <c r="X326" s="70"/>
      <c r="Y326" s="95">
        <f>SUM(C326:X326)</f>
        <v>0</v>
      </c>
    </row>
    <row r="327" spans="1:25" ht="21" customHeight="1">
      <c r="A327" s="93">
        <v>110700</v>
      </c>
      <c r="B327" s="94" t="s">
        <v>101</v>
      </c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164"/>
      <c r="P327" s="164"/>
      <c r="Q327" s="164"/>
      <c r="R327" s="70"/>
      <c r="S327" s="70"/>
      <c r="T327" s="70"/>
      <c r="U327" s="70"/>
      <c r="V327" s="70"/>
      <c r="W327" s="70"/>
      <c r="X327" s="70"/>
      <c r="Y327" s="95">
        <f t="shared" ref="Y327:Y332" si="72">SUM(C327:X327)</f>
        <v>0</v>
      </c>
    </row>
    <row r="328" spans="1:25" ht="21" customHeight="1">
      <c r="A328" s="93">
        <v>110800</v>
      </c>
      <c r="B328" s="94" t="s">
        <v>105</v>
      </c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164"/>
      <c r="P328" s="164"/>
      <c r="Q328" s="164"/>
      <c r="R328" s="70"/>
      <c r="S328" s="70"/>
      <c r="T328" s="70"/>
      <c r="U328" s="70"/>
      <c r="V328" s="70"/>
      <c r="W328" s="70"/>
      <c r="X328" s="70"/>
      <c r="Y328" s="95">
        <f t="shared" si="72"/>
        <v>0</v>
      </c>
    </row>
    <row r="329" spans="1:25" ht="21" customHeight="1">
      <c r="A329" s="93">
        <v>110900</v>
      </c>
      <c r="B329" s="94" t="s">
        <v>106</v>
      </c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164"/>
      <c r="P329" s="164"/>
      <c r="Q329" s="164"/>
      <c r="R329" s="70"/>
      <c r="S329" s="70"/>
      <c r="T329" s="70"/>
      <c r="U329" s="70"/>
      <c r="V329" s="70"/>
      <c r="W329" s="70"/>
      <c r="X329" s="70"/>
      <c r="Y329" s="95">
        <f t="shared" si="72"/>
        <v>0</v>
      </c>
    </row>
    <row r="330" spans="1:25" ht="21" customHeight="1">
      <c r="A330" s="93">
        <v>111000</v>
      </c>
      <c r="B330" s="94" t="s">
        <v>107</v>
      </c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164"/>
      <c r="P330" s="164"/>
      <c r="Q330" s="164"/>
      <c r="R330" s="70"/>
      <c r="S330" s="70"/>
      <c r="T330" s="70"/>
      <c r="U330" s="70"/>
      <c r="V330" s="70"/>
      <c r="W330" s="70"/>
      <c r="X330" s="70"/>
      <c r="Y330" s="95">
        <f t="shared" si="72"/>
        <v>0</v>
      </c>
    </row>
    <row r="331" spans="1:25" ht="21" customHeight="1">
      <c r="A331" s="93">
        <v>111100</v>
      </c>
      <c r="B331" s="94" t="s">
        <v>330</v>
      </c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164"/>
      <c r="P331" s="164"/>
      <c r="Q331" s="164"/>
      <c r="R331" s="70"/>
      <c r="S331" s="70"/>
      <c r="T331" s="70"/>
      <c r="U331" s="70"/>
      <c r="V331" s="70"/>
      <c r="W331" s="70"/>
      <c r="X331" s="70"/>
      <c r="Y331" s="95">
        <f t="shared" si="72"/>
        <v>0</v>
      </c>
    </row>
    <row r="332" spans="1:25" ht="21" customHeight="1">
      <c r="A332" s="93">
        <v>111100</v>
      </c>
      <c r="B332" s="94" t="s">
        <v>297</v>
      </c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164"/>
      <c r="P332" s="164"/>
      <c r="Q332" s="164"/>
      <c r="R332" s="70"/>
      <c r="S332" s="70"/>
      <c r="T332" s="70"/>
      <c r="U332" s="70"/>
      <c r="V332" s="70"/>
      <c r="W332" s="70"/>
      <c r="X332" s="70"/>
      <c r="Y332" s="95">
        <f t="shared" si="72"/>
        <v>0</v>
      </c>
    </row>
    <row r="333" spans="1:25" ht="21" customHeight="1">
      <c r="A333" s="96">
        <v>120100</v>
      </c>
      <c r="B333" s="97" t="s">
        <v>168</v>
      </c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165"/>
      <c r="P333" s="165"/>
      <c r="Q333" s="165"/>
      <c r="R333" s="76"/>
      <c r="S333" s="76"/>
      <c r="T333" s="76"/>
      <c r="U333" s="76"/>
      <c r="V333" s="76"/>
      <c r="W333" s="76"/>
      <c r="X333" s="76"/>
      <c r="Y333" s="98">
        <f>SUM(C333:X333)</f>
        <v>0</v>
      </c>
    </row>
    <row r="334" spans="1:25" ht="21" customHeight="1">
      <c r="A334" s="432" t="s">
        <v>386</v>
      </c>
      <c r="B334" s="433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67"/>
      <c r="P334" s="167"/>
      <c r="Q334" s="167"/>
      <c r="R334" s="100"/>
      <c r="S334" s="100"/>
      <c r="T334" s="100"/>
      <c r="U334" s="100"/>
      <c r="V334" s="100"/>
      <c r="W334" s="100"/>
      <c r="X334" s="100"/>
      <c r="Y334" s="101">
        <f t="shared" ref="Y334:Y340" si="73">SUM(C334:X334)</f>
        <v>0</v>
      </c>
    </row>
    <row r="335" spans="1:25" ht="21" customHeight="1">
      <c r="A335" s="93">
        <v>210100</v>
      </c>
      <c r="B335" s="68" t="s">
        <v>169</v>
      </c>
      <c r="C335" s="70"/>
      <c r="D335" s="70">
        <v>0</v>
      </c>
      <c r="E335" s="70"/>
      <c r="F335" s="70"/>
      <c r="G335" s="70"/>
      <c r="H335" s="70"/>
      <c r="I335" s="70"/>
      <c r="J335" s="70"/>
      <c r="K335" s="70"/>
      <c r="L335" s="70">
        <v>0</v>
      </c>
      <c r="M335" s="70"/>
      <c r="N335" s="70"/>
      <c r="O335" s="164"/>
      <c r="P335" s="164"/>
      <c r="Q335" s="164"/>
      <c r="R335" s="70"/>
      <c r="S335" s="70"/>
      <c r="T335" s="70"/>
      <c r="U335" s="70"/>
      <c r="V335" s="70"/>
      <c r="W335" s="70"/>
      <c r="X335" s="70"/>
      <c r="Y335" s="95">
        <f t="shared" si="73"/>
        <v>0</v>
      </c>
    </row>
    <row r="336" spans="1:25" ht="21" customHeight="1">
      <c r="A336" s="93">
        <v>210200</v>
      </c>
      <c r="B336" s="68" t="s">
        <v>173</v>
      </c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164"/>
      <c r="P336" s="164"/>
      <c r="Q336" s="164"/>
      <c r="R336" s="70"/>
      <c r="S336" s="70"/>
      <c r="T336" s="70"/>
      <c r="U336" s="70"/>
      <c r="V336" s="70"/>
      <c r="W336" s="70"/>
      <c r="X336" s="70"/>
      <c r="Y336" s="95">
        <f t="shared" si="73"/>
        <v>0</v>
      </c>
    </row>
    <row r="337" spans="1:25" ht="21" customHeight="1">
      <c r="A337" s="93">
        <v>210300</v>
      </c>
      <c r="B337" s="68" t="s">
        <v>170</v>
      </c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164"/>
      <c r="P337" s="164"/>
      <c r="Q337" s="164"/>
      <c r="R337" s="70"/>
      <c r="S337" s="70"/>
      <c r="T337" s="70"/>
      <c r="U337" s="70"/>
      <c r="V337" s="70"/>
      <c r="W337" s="70"/>
      <c r="X337" s="70"/>
      <c r="Y337" s="95">
        <f t="shared" si="73"/>
        <v>0</v>
      </c>
    </row>
    <row r="338" spans="1:25" ht="21" customHeight="1">
      <c r="A338" s="93">
        <v>210400</v>
      </c>
      <c r="B338" s="68" t="s">
        <v>171</v>
      </c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164"/>
      <c r="P338" s="164"/>
      <c r="Q338" s="164"/>
      <c r="R338" s="70"/>
      <c r="S338" s="70"/>
      <c r="T338" s="70"/>
      <c r="U338" s="70"/>
      <c r="V338" s="70"/>
      <c r="W338" s="70"/>
      <c r="X338" s="70"/>
      <c r="Y338" s="95">
        <f t="shared" si="73"/>
        <v>0</v>
      </c>
    </row>
    <row r="339" spans="1:25" ht="21" customHeight="1">
      <c r="A339" s="96">
        <v>210600</v>
      </c>
      <c r="B339" s="69" t="s">
        <v>172</v>
      </c>
      <c r="C339" s="70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165"/>
      <c r="P339" s="165"/>
      <c r="Q339" s="165"/>
      <c r="R339" s="76"/>
      <c r="S339" s="76"/>
      <c r="T339" s="76"/>
      <c r="U339" s="76"/>
      <c r="V339" s="76"/>
      <c r="W339" s="76"/>
      <c r="X339" s="76"/>
      <c r="Y339" s="98">
        <f t="shared" si="73"/>
        <v>0</v>
      </c>
    </row>
    <row r="340" spans="1:25" ht="21" customHeight="1">
      <c r="A340" s="432" t="s">
        <v>387</v>
      </c>
      <c r="B340" s="433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67"/>
      <c r="P340" s="167"/>
      <c r="Q340" s="167"/>
      <c r="R340" s="100"/>
      <c r="S340" s="100"/>
      <c r="T340" s="100"/>
      <c r="U340" s="100"/>
      <c r="V340" s="100"/>
      <c r="W340" s="100"/>
      <c r="X340" s="100"/>
      <c r="Y340" s="101">
        <f t="shared" si="73"/>
        <v>0</v>
      </c>
    </row>
    <row r="341" spans="1:25" ht="21" customHeight="1">
      <c r="A341" s="93">
        <v>220100</v>
      </c>
      <c r="B341" s="68" t="s">
        <v>176</v>
      </c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237"/>
      <c r="O341" s="268"/>
      <c r="P341" s="164"/>
      <c r="Q341" s="164"/>
      <c r="R341" s="70"/>
      <c r="S341" s="70"/>
      <c r="T341" s="70"/>
      <c r="U341" s="70"/>
      <c r="V341" s="70"/>
      <c r="W341" s="70"/>
      <c r="X341" s="70"/>
      <c r="Y341" s="95">
        <f>SUM(C341:X341)</f>
        <v>0</v>
      </c>
    </row>
    <row r="342" spans="1:25" ht="21" customHeight="1">
      <c r="A342" s="93">
        <v>220200</v>
      </c>
      <c r="B342" s="68" t="s">
        <v>177</v>
      </c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238"/>
      <c r="O342" s="94"/>
      <c r="P342" s="164"/>
      <c r="Q342" s="164"/>
      <c r="R342" s="70"/>
      <c r="S342" s="70"/>
      <c r="T342" s="70"/>
      <c r="U342" s="70"/>
      <c r="V342" s="70"/>
      <c r="W342" s="70"/>
      <c r="X342" s="70"/>
      <c r="Y342" s="95">
        <f t="shared" ref="Y342:Y345" si="74">SUM(C342:X342)</f>
        <v>0</v>
      </c>
    </row>
    <row r="343" spans="1:25" ht="21" customHeight="1">
      <c r="A343" s="93">
        <v>220300</v>
      </c>
      <c r="B343" s="68" t="s">
        <v>178</v>
      </c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238"/>
      <c r="O343" s="94"/>
      <c r="P343" s="164"/>
      <c r="Q343" s="164"/>
      <c r="R343" s="70"/>
      <c r="S343" s="70"/>
      <c r="T343" s="70"/>
      <c r="U343" s="70"/>
      <c r="V343" s="70"/>
      <c r="W343" s="70"/>
      <c r="X343" s="70"/>
      <c r="Y343" s="95">
        <f t="shared" si="74"/>
        <v>0</v>
      </c>
    </row>
    <row r="344" spans="1:25" ht="21" customHeight="1">
      <c r="A344" s="93">
        <v>220500</v>
      </c>
      <c r="B344" s="68" t="s">
        <v>3</v>
      </c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238"/>
      <c r="O344" s="94"/>
      <c r="P344" s="164"/>
      <c r="Q344" s="164"/>
      <c r="R344" s="70"/>
      <c r="S344" s="70"/>
      <c r="T344" s="70"/>
      <c r="U344" s="70"/>
      <c r="V344" s="70"/>
      <c r="W344" s="70"/>
      <c r="X344" s="70"/>
      <c r="Y344" s="95">
        <f t="shared" si="74"/>
        <v>0</v>
      </c>
    </row>
    <row r="345" spans="1:25" ht="21" customHeight="1">
      <c r="A345" s="93">
        <v>220600</v>
      </c>
      <c r="B345" s="68" t="s">
        <v>179</v>
      </c>
      <c r="C345" s="70">
        <v>0</v>
      </c>
      <c r="D345" s="70">
        <v>0</v>
      </c>
      <c r="E345" s="70"/>
      <c r="F345" s="70"/>
      <c r="G345" s="70"/>
      <c r="H345" s="70"/>
      <c r="I345" s="70"/>
      <c r="J345" s="70"/>
      <c r="K345" s="70"/>
      <c r="L345" s="70">
        <v>0</v>
      </c>
      <c r="M345" s="70"/>
      <c r="N345" s="239"/>
      <c r="O345" s="165"/>
      <c r="P345" s="164"/>
      <c r="Q345" s="164"/>
      <c r="R345" s="70"/>
      <c r="S345" s="70"/>
      <c r="T345" s="70"/>
      <c r="U345" s="70"/>
      <c r="V345" s="70"/>
      <c r="W345" s="70"/>
      <c r="X345" s="70"/>
      <c r="Y345" s="95">
        <f t="shared" si="74"/>
        <v>0</v>
      </c>
    </row>
    <row r="346" spans="1:25" ht="21" customHeight="1">
      <c r="A346" s="435" t="s">
        <v>139</v>
      </c>
      <c r="B346" s="435"/>
      <c r="C346" s="434" t="s">
        <v>141</v>
      </c>
      <c r="D346" s="434"/>
      <c r="E346" s="437" t="s">
        <v>144</v>
      </c>
      <c r="F346" s="438"/>
      <c r="G346" s="434" t="s">
        <v>146</v>
      </c>
      <c r="H346" s="435"/>
      <c r="I346" s="437" t="s">
        <v>160</v>
      </c>
      <c r="J346" s="438"/>
      <c r="K346" s="370" t="s">
        <v>161</v>
      </c>
      <c r="L346" s="437" t="s">
        <v>162</v>
      </c>
      <c r="M346" s="439"/>
      <c r="N346" s="439"/>
      <c r="O346" s="438"/>
      <c r="P346" s="437" t="s">
        <v>163</v>
      </c>
      <c r="Q346" s="438"/>
      <c r="R346" s="437" t="s">
        <v>164</v>
      </c>
      <c r="S346" s="439"/>
      <c r="T346" s="438"/>
      <c r="U346" s="434" t="s">
        <v>165</v>
      </c>
      <c r="V346" s="435"/>
      <c r="W346" s="370" t="s">
        <v>212</v>
      </c>
      <c r="X346" s="370" t="s">
        <v>166</v>
      </c>
      <c r="Y346" s="436" t="s">
        <v>17</v>
      </c>
    </row>
    <row r="347" spans="1:25" ht="21" customHeight="1">
      <c r="A347" s="435" t="s">
        <v>140</v>
      </c>
      <c r="B347" s="435"/>
      <c r="C347" s="370" t="s">
        <v>142</v>
      </c>
      <c r="D347" s="370" t="s">
        <v>143</v>
      </c>
      <c r="E347" s="370" t="s">
        <v>145</v>
      </c>
      <c r="F347" s="370" t="s">
        <v>214</v>
      </c>
      <c r="G347" s="370" t="s">
        <v>147</v>
      </c>
      <c r="H347" s="370" t="s">
        <v>148</v>
      </c>
      <c r="I347" s="370" t="s">
        <v>149</v>
      </c>
      <c r="J347" s="370" t="s">
        <v>150</v>
      </c>
      <c r="K347" s="370" t="s">
        <v>151</v>
      </c>
      <c r="L347" s="370" t="s">
        <v>152</v>
      </c>
      <c r="M347" s="370" t="s">
        <v>153</v>
      </c>
      <c r="N347" s="370" t="s">
        <v>238</v>
      </c>
      <c r="O347" s="370" t="s">
        <v>331</v>
      </c>
      <c r="P347" s="371" t="s">
        <v>303</v>
      </c>
      <c r="Q347" s="371" t="s">
        <v>154</v>
      </c>
      <c r="R347" s="370" t="s">
        <v>155</v>
      </c>
      <c r="S347" s="370" t="s">
        <v>156</v>
      </c>
      <c r="T347" s="370" t="s">
        <v>216</v>
      </c>
      <c r="U347" s="370" t="s">
        <v>157</v>
      </c>
      <c r="V347" s="370" t="s">
        <v>158</v>
      </c>
      <c r="W347" s="370" t="s">
        <v>213</v>
      </c>
      <c r="X347" s="370" t="s">
        <v>159</v>
      </c>
      <c r="Y347" s="436"/>
    </row>
    <row r="348" spans="1:25" ht="21" customHeight="1">
      <c r="A348" s="93">
        <v>220700</v>
      </c>
      <c r="B348" s="68" t="s">
        <v>180</v>
      </c>
      <c r="C348" s="70"/>
      <c r="D348" s="70"/>
      <c r="E348" s="70"/>
      <c r="F348" s="70"/>
      <c r="G348" s="70"/>
      <c r="H348" s="74"/>
      <c r="I348" s="70"/>
      <c r="J348" s="70"/>
      <c r="K348" s="70"/>
      <c r="L348" s="70"/>
      <c r="M348" s="70"/>
      <c r="N348" s="70"/>
      <c r="O348" s="164"/>
      <c r="P348" s="164"/>
      <c r="Q348" s="164"/>
      <c r="R348" s="70"/>
      <c r="S348" s="70"/>
      <c r="T348" s="70"/>
      <c r="U348" s="70"/>
      <c r="V348" s="70"/>
      <c r="W348" s="70"/>
      <c r="X348" s="70"/>
      <c r="Y348" s="95">
        <f>SUM(C348:X348)</f>
        <v>0</v>
      </c>
    </row>
    <row r="349" spans="1:25" ht="21" customHeight="1">
      <c r="A349" s="96">
        <v>220800</v>
      </c>
      <c r="B349" s="69" t="s">
        <v>181</v>
      </c>
      <c r="C349" s="70"/>
      <c r="D349" s="76"/>
      <c r="E349" s="76"/>
      <c r="F349" s="76"/>
      <c r="G349" s="76"/>
      <c r="H349" s="123"/>
      <c r="I349" s="76"/>
      <c r="J349" s="76"/>
      <c r="K349" s="76"/>
      <c r="L349" s="70"/>
      <c r="M349" s="76"/>
      <c r="N349" s="76"/>
      <c r="O349" s="165"/>
      <c r="P349" s="165"/>
      <c r="Q349" s="165"/>
      <c r="R349" s="76"/>
      <c r="S349" s="76"/>
      <c r="T349" s="76"/>
      <c r="U349" s="76"/>
      <c r="V349" s="76"/>
      <c r="W349" s="76"/>
      <c r="X349" s="76"/>
      <c r="Y349" s="95">
        <f>SUM(C349:X349)</f>
        <v>0</v>
      </c>
    </row>
    <row r="350" spans="1:25" ht="21" customHeight="1">
      <c r="A350" s="432" t="s">
        <v>388</v>
      </c>
      <c r="B350" s="433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67"/>
      <c r="P350" s="167"/>
      <c r="Q350" s="167"/>
      <c r="R350" s="100"/>
      <c r="S350" s="100"/>
      <c r="T350" s="100"/>
      <c r="U350" s="100"/>
      <c r="V350" s="100"/>
      <c r="W350" s="100"/>
      <c r="X350" s="100"/>
      <c r="Y350" s="101">
        <f t="shared" ref="Y350:Y355" si="75">SUM(C350:X350)</f>
        <v>0</v>
      </c>
    </row>
    <row r="351" spans="1:25" ht="21" customHeight="1">
      <c r="A351" s="93">
        <v>310100</v>
      </c>
      <c r="B351" s="68" t="s">
        <v>182</v>
      </c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164"/>
      <c r="P351" s="164"/>
      <c r="Q351" s="164"/>
      <c r="R351" s="70"/>
      <c r="S351" s="70"/>
      <c r="T351" s="70"/>
      <c r="U351" s="70"/>
      <c r="V351" s="70"/>
      <c r="W351" s="70"/>
      <c r="X351" s="70"/>
      <c r="Y351" s="95">
        <f t="shared" si="75"/>
        <v>0</v>
      </c>
    </row>
    <row r="352" spans="1:25" ht="21" customHeight="1">
      <c r="A352" s="93">
        <v>310200</v>
      </c>
      <c r="B352" s="68" t="s">
        <v>183</v>
      </c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164"/>
      <c r="P352" s="164"/>
      <c r="Q352" s="164"/>
      <c r="R352" s="70"/>
      <c r="S352" s="70"/>
      <c r="T352" s="70"/>
      <c r="U352" s="70"/>
      <c r="V352" s="70"/>
      <c r="W352" s="70"/>
      <c r="X352" s="70"/>
      <c r="Y352" s="95">
        <f t="shared" si="75"/>
        <v>0</v>
      </c>
    </row>
    <row r="353" spans="1:25" ht="21" customHeight="1">
      <c r="A353" s="93">
        <v>310300</v>
      </c>
      <c r="B353" s="68" t="s">
        <v>184</v>
      </c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164"/>
      <c r="P353" s="164"/>
      <c r="Q353" s="164"/>
      <c r="R353" s="70"/>
      <c r="S353" s="70"/>
      <c r="T353" s="70"/>
      <c r="U353" s="70"/>
      <c r="V353" s="70"/>
      <c r="W353" s="70"/>
      <c r="X353" s="70"/>
      <c r="Y353" s="95">
        <f t="shared" si="75"/>
        <v>0</v>
      </c>
    </row>
    <row r="354" spans="1:25" ht="21" customHeight="1">
      <c r="A354" s="93">
        <v>310400</v>
      </c>
      <c r="B354" s="68" t="s">
        <v>185</v>
      </c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164"/>
      <c r="P354" s="164"/>
      <c r="Q354" s="164"/>
      <c r="R354" s="70"/>
      <c r="S354" s="70"/>
      <c r="T354" s="70"/>
      <c r="U354" s="70"/>
      <c r="V354" s="70"/>
      <c r="W354" s="70"/>
      <c r="X354" s="70"/>
      <c r="Y354" s="95">
        <f t="shared" si="75"/>
        <v>0</v>
      </c>
    </row>
    <row r="355" spans="1:25" ht="21" customHeight="1">
      <c r="A355" s="93">
        <v>310500</v>
      </c>
      <c r="B355" s="68" t="s">
        <v>409</v>
      </c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164"/>
      <c r="P355" s="164"/>
      <c r="Q355" s="164"/>
      <c r="R355" s="70"/>
      <c r="S355" s="70"/>
      <c r="T355" s="70"/>
      <c r="U355" s="70"/>
      <c r="V355" s="70"/>
      <c r="W355" s="70"/>
      <c r="X355" s="70"/>
      <c r="Y355" s="95">
        <f t="shared" si="75"/>
        <v>0</v>
      </c>
    </row>
    <row r="356" spans="1:25" ht="21" customHeight="1">
      <c r="A356" s="96">
        <v>310600</v>
      </c>
      <c r="B356" s="69" t="s">
        <v>187</v>
      </c>
      <c r="C356" s="70"/>
      <c r="D356" s="70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165"/>
      <c r="P356" s="165"/>
      <c r="Q356" s="165"/>
      <c r="R356" s="76"/>
      <c r="S356" s="76"/>
      <c r="T356" s="76"/>
      <c r="U356" s="76"/>
      <c r="V356" s="76"/>
      <c r="W356" s="76"/>
      <c r="X356" s="76"/>
      <c r="Y356" s="98">
        <f>SUM(C356:X356)</f>
        <v>0</v>
      </c>
    </row>
    <row r="357" spans="1:25" ht="21" customHeight="1">
      <c r="A357" s="96">
        <v>310700</v>
      </c>
      <c r="B357" s="69" t="s">
        <v>410</v>
      </c>
      <c r="C357" s="70"/>
      <c r="D357" s="70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165"/>
      <c r="P357" s="165"/>
      <c r="Q357" s="165"/>
      <c r="R357" s="76"/>
      <c r="S357" s="76"/>
      <c r="T357" s="76"/>
      <c r="U357" s="76"/>
      <c r="V357" s="76"/>
      <c r="W357" s="76"/>
      <c r="X357" s="76"/>
      <c r="Y357" s="98">
        <f>SUM(C357:X357)</f>
        <v>0</v>
      </c>
    </row>
    <row r="358" spans="1:25" ht="21" customHeight="1">
      <c r="A358" s="432" t="s">
        <v>389</v>
      </c>
      <c r="B358" s="433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67"/>
      <c r="P358" s="167"/>
      <c r="Q358" s="167"/>
      <c r="R358" s="100"/>
      <c r="S358" s="100"/>
      <c r="T358" s="100"/>
      <c r="U358" s="100"/>
      <c r="V358" s="100"/>
      <c r="W358" s="100"/>
      <c r="X358" s="100"/>
      <c r="Y358" s="101">
        <f t="shared" ref="Y358:Y369" si="76">SUM(C358:X358)</f>
        <v>0</v>
      </c>
    </row>
    <row r="359" spans="1:25" ht="21" customHeight="1">
      <c r="A359" s="93">
        <v>320100</v>
      </c>
      <c r="B359" s="68" t="s">
        <v>188</v>
      </c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164"/>
      <c r="P359" s="164"/>
      <c r="Q359" s="164"/>
      <c r="R359" s="70"/>
      <c r="S359" s="70"/>
      <c r="T359" s="70"/>
      <c r="U359" s="70"/>
      <c r="V359" s="70"/>
      <c r="W359" s="70"/>
      <c r="X359" s="70"/>
      <c r="Y359" s="95">
        <f t="shared" si="76"/>
        <v>0</v>
      </c>
    </row>
    <row r="360" spans="1:25" ht="21" customHeight="1">
      <c r="A360" s="93">
        <v>320200</v>
      </c>
      <c r="B360" s="68" t="s">
        <v>189</v>
      </c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164"/>
      <c r="P360" s="164"/>
      <c r="Q360" s="164"/>
      <c r="R360" s="70"/>
      <c r="S360" s="70"/>
      <c r="T360" s="70"/>
      <c r="U360" s="70"/>
      <c r="V360" s="70"/>
      <c r="W360" s="70"/>
      <c r="X360" s="70"/>
      <c r="Y360" s="95">
        <f t="shared" si="76"/>
        <v>0</v>
      </c>
    </row>
    <row r="361" spans="1:25" ht="21" customHeight="1">
      <c r="A361" s="93">
        <v>320300</v>
      </c>
      <c r="B361" s="68" t="s">
        <v>190</v>
      </c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164"/>
      <c r="P361" s="164"/>
      <c r="Q361" s="164"/>
      <c r="R361" s="70">
        <v>-25000</v>
      </c>
      <c r="S361" s="70"/>
      <c r="T361" s="70">
        <v>25000</v>
      </c>
      <c r="U361" s="70"/>
      <c r="V361" s="70"/>
      <c r="W361" s="70"/>
      <c r="X361" s="70"/>
      <c r="Y361" s="95">
        <f t="shared" si="76"/>
        <v>0</v>
      </c>
    </row>
    <row r="362" spans="1:25" ht="21" customHeight="1">
      <c r="A362" s="96">
        <v>320400</v>
      </c>
      <c r="B362" s="69" t="s">
        <v>191</v>
      </c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165"/>
      <c r="P362" s="165"/>
      <c r="Q362" s="165"/>
      <c r="R362" s="76"/>
      <c r="S362" s="76"/>
      <c r="T362" s="76"/>
      <c r="U362" s="76"/>
      <c r="V362" s="76"/>
      <c r="W362" s="76"/>
      <c r="X362" s="76"/>
      <c r="Y362" s="95">
        <f t="shared" si="76"/>
        <v>0</v>
      </c>
    </row>
    <row r="363" spans="1:25" ht="21" customHeight="1">
      <c r="A363" s="432" t="s">
        <v>390</v>
      </c>
      <c r="B363" s="433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67"/>
      <c r="P363" s="167"/>
      <c r="Q363" s="167"/>
      <c r="R363" s="100"/>
      <c r="S363" s="100"/>
      <c r="T363" s="100"/>
      <c r="U363" s="100"/>
      <c r="V363" s="100"/>
      <c r="W363" s="100"/>
      <c r="X363" s="100"/>
      <c r="Y363" s="101">
        <f t="shared" si="76"/>
        <v>0</v>
      </c>
    </row>
    <row r="364" spans="1:25" ht="21" customHeight="1">
      <c r="A364" s="93">
        <v>330100</v>
      </c>
      <c r="B364" s="68" t="s">
        <v>192</v>
      </c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164"/>
      <c r="P364" s="164"/>
      <c r="Q364" s="164"/>
      <c r="R364" s="70"/>
      <c r="S364" s="70"/>
      <c r="T364" s="70"/>
      <c r="U364" s="70"/>
      <c r="V364" s="70"/>
      <c r="W364" s="70"/>
      <c r="X364" s="70"/>
      <c r="Y364" s="95">
        <f t="shared" si="76"/>
        <v>0</v>
      </c>
    </row>
    <row r="365" spans="1:25" ht="21" customHeight="1">
      <c r="A365" s="93">
        <v>330200</v>
      </c>
      <c r="B365" s="68" t="s">
        <v>193</v>
      </c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164"/>
      <c r="P365" s="164"/>
      <c r="Q365" s="164"/>
      <c r="R365" s="70"/>
      <c r="S365" s="70"/>
      <c r="T365" s="70"/>
      <c r="U365" s="70"/>
      <c r="V365" s="70"/>
      <c r="W365" s="70"/>
      <c r="X365" s="70"/>
      <c r="Y365" s="95">
        <f t="shared" si="76"/>
        <v>0</v>
      </c>
    </row>
    <row r="366" spans="1:25" ht="21" customHeight="1">
      <c r="A366" s="93">
        <v>330300</v>
      </c>
      <c r="B366" s="68" t="s">
        <v>235</v>
      </c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164"/>
      <c r="P366" s="164"/>
      <c r="Q366" s="164"/>
      <c r="R366" s="70"/>
      <c r="S366" s="70"/>
      <c r="T366" s="70"/>
      <c r="U366" s="70"/>
      <c r="V366" s="70"/>
      <c r="W366" s="70"/>
      <c r="X366" s="70"/>
      <c r="Y366" s="95">
        <f t="shared" si="76"/>
        <v>0</v>
      </c>
    </row>
    <row r="367" spans="1:25" ht="21" customHeight="1">
      <c r="A367" s="93">
        <v>330400</v>
      </c>
      <c r="B367" s="68" t="s">
        <v>210</v>
      </c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164"/>
      <c r="P367" s="164"/>
      <c r="Q367" s="164"/>
      <c r="R367" s="70"/>
      <c r="S367" s="70"/>
      <c r="T367" s="70"/>
      <c r="U367" s="70"/>
      <c r="V367" s="70"/>
      <c r="W367" s="70"/>
      <c r="X367" s="70"/>
      <c r="Y367" s="95">
        <f t="shared" si="76"/>
        <v>0</v>
      </c>
    </row>
    <row r="368" spans="1:25" ht="21" customHeight="1">
      <c r="A368" s="93">
        <v>330600</v>
      </c>
      <c r="B368" s="68" t="s">
        <v>194</v>
      </c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164"/>
      <c r="P368" s="164"/>
      <c r="Q368" s="164"/>
      <c r="R368" s="70"/>
      <c r="S368" s="70"/>
      <c r="T368" s="70"/>
      <c r="U368" s="70"/>
      <c r="V368" s="70"/>
      <c r="W368" s="70"/>
      <c r="X368" s="70"/>
      <c r="Y368" s="95">
        <f t="shared" si="76"/>
        <v>0</v>
      </c>
    </row>
    <row r="369" spans="1:25" ht="21" customHeight="1">
      <c r="A369" s="93">
        <v>330700</v>
      </c>
      <c r="B369" s="68" t="s">
        <v>310</v>
      </c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164"/>
      <c r="P369" s="164"/>
      <c r="Q369" s="164"/>
      <c r="R369" s="70"/>
      <c r="S369" s="70"/>
      <c r="T369" s="70"/>
      <c r="U369" s="70"/>
      <c r="V369" s="70"/>
      <c r="W369" s="70"/>
      <c r="X369" s="70"/>
      <c r="Y369" s="95">
        <f t="shared" si="76"/>
        <v>0</v>
      </c>
    </row>
    <row r="370" spans="1:25" ht="21" customHeight="1">
      <c r="A370" s="93">
        <v>330800</v>
      </c>
      <c r="B370" s="68" t="s">
        <v>195</v>
      </c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164"/>
      <c r="P370" s="164"/>
      <c r="Q370" s="164"/>
      <c r="R370" s="70"/>
      <c r="S370" s="70"/>
      <c r="T370" s="70"/>
      <c r="U370" s="70"/>
      <c r="V370" s="70"/>
      <c r="W370" s="70"/>
      <c r="X370" s="70"/>
      <c r="Y370" s="95">
        <f>SUM(C370:X370)</f>
        <v>0</v>
      </c>
    </row>
    <row r="371" spans="1:25" ht="21" customHeight="1">
      <c r="A371" s="93">
        <v>330900</v>
      </c>
      <c r="B371" s="68" t="s">
        <v>197</v>
      </c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164"/>
      <c r="P371" s="164"/>
      <c r="Q371" s="164"/>
      <c r="R371" s="70"/>
      <c r="S371" s="70"/>
      <c r="T371" s="70"/>
      <c r="U371" s="70"/>
      <c r="V371" s="70"/>
      <c r="W371" s="70"/>
      <c r="X371" s="70"/>
      <c r="Y371" s="95">
        <f t="shared" ref="Y371" si="77">SUM(C371:X371)</f>
        <v>0</v>
      </c>
    </row>
    <row r="372" spans="1:25" ht="21" customHeight="1">
      <c r="A372" s="435" t="s">
        <v>139</v>
      </c>
      <c r="B372" s="435"/>
      <c r="C372" s="434" t="s">
        <v>141</v>
      </c>
      <c r="D372" s="434"/>
      <c r="E372" s="437" t="s">
        <v>144</v>
      </c>
      <c r="F372" s="438"/>
      <c r="G372" s="434" t="s">
        <v>146</v>
      </c>
      <c r="H372" s="435"/>
      <c r="I372" s="437" t="s">
        <v>160</v>
      </c>
      <c r="J372" s="438"/>
      <c r="K372" s="370" t="s">
        <v>161</v>
      </c>
      <c r="L372" s="437" t="s">
        <v>162</v>
      </c>
      <c r="M372" s="439"/>
      <c r="N372" s="439"/>
      <c r="O372" s="438"/>
      <c r="P372" s="437" t="s">
        <v>163</v>
      </c>
      <c r="Q372" s="438"/>
      <c r="R372" s="437" t="s">
        <v>164</v>
      </c>
      <c r="S372" s="439"/>
      <c r="T372" s="438"/>
      <c r="U372" s="434" t="s">
        <v>165</v>
      </c>
      <c r="V372" s="435"/>
      <c r="W372" s="370" t="s">
        <v>212</v>
      </c>
      <c r="X372" s="370" t="s">
        <v>166</v>
      </c>
      <c r="Y372" s="436" t="s">
        <v>17</v>
      </c>
    </row>
    <row r="373" spans="1:25" ht="21" customHeight="1">
      <c r="A373" s="435" t="s">
        <v>140</v>
      </c>
      <c r="B373" s="435"/>
      <c r="C373" s="370" t="s">
        <v>142</v>
      </c>
      <c r="D373" s="370" t="s">
        <v>143</v>
      </c>
      <c r="E373" s="370" t="s">
        <v>145</v>
      </c>
      <c r="F373" s="370" t="s">
        <v>214</v>
      </c>
      <c r="G373" s="370" t="s">
        <v>147</v>
      </c>
      <c r="H373" s="370" t="s">
        <v>148</v>
      </c>
      <c r="I373" s="370" t="s">
        <v>149</v>
      </c>
      <c r="J373" s="370" t="s">
        <v>150</v>
      </c>
      <c r="K373" s="370" t="s">
        <v>151</v>
      </c>
      <c r="L373" s="370" t="s">
        <v>152</v>
      </c>
      <c r="M373" s="370" t="s">
        <v>153</v>
      </c>
      <c r="N373" s="370" t="s">
        <v>238</v>
      </c>
      <c r="O373" s="370" t="s">
        <v>331</v>
      </c>
      <c r="P373" s="371" t="s">
        <v>303</v>
      </c>
      <c r="Q373" s="371" t="s">
        <v>154</v>
      </c>
      <c r="R373" s="370" t="s">
        <v>155</v>
      </c>
      <c r="S373" s="370" t="s">
        <v>156</v>
      </c>
      <c r="T373" s="370" t="s">
        <v>216</v>
      </c>
      <c r="U373" s="370" t="s">
        <v>157</v>
      </c>
      <c r="V373" s="370" t="s">
        <v>158</v>
      </c>
      <c r="W373" s="370" t="s">
        <v>213</v>
      </c>
      <c r="X373" s="370" t="s">
        <v>159</v>
      </c>
      <c r="Y373" s="436"/>
    </row>
    <row r="374" spans="1:25" ht="21" customHeight="1">
      <c r="A374" s="224">
        <v>331000</v>
      </c>
      <c r="B374" s="227" t="s">
        <v>300</v>
      </c>
      <c r="C374" s="228"/>
      <c r="D374" s="225"/>
      <c r="E374" s="225"/>
      <c r="F374" s="225"/>
      <c r="G374" s="225"/>
      <c r="H374" s="225"/>
      <c r="I374" s="225"/>
      <c r="J374" s="225"/>
      <c r="K374" s="225"/>
      <c r="L374" s="225"/>
      <c r="M374" s="225"/>
      <c r="N374" s="225"/>
      <c r="O374" s="226"/>
      <c r="P374" s="226"/>
      <c r="Q374" s="226"/>
      <c r="R374" s="225"/>
      <c r="S374" s="225"/>
      <c r="T374" s="225"/>
      <c r="U374" s="225"/>
      <c r="V374" s="225"/>
      <c r="W374" s="225"/>
      <c r="X374" s="225"/>
      <c r="Y374" s="95">
        <f>SUM(C374:X374)</f>
        <v>0</v>
      </c>
    </row>
    <row r="375" spans="1:25" ht="21" customHeight="1">
      <c r="A375" s="93">
        <v>331200</v>
      </c>
      <c r="B375" s="68" t="s">
        <v>198</v>
      </c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164"/>
      <c r="P375" s="164"/>
      <c r="Q375" s="164"/>
      <c r="R375" s="70"/>
      <c r="S375" s="70"/>
      <c r="T375" s="70"/>
      <c r="U375" s="70"/>
      <c r="V375" s="70"/>
      <c r="W375" s="70"/>
      <c r="X375" s="70"/>
      <c r="Y375" s="95">
        <f>SUM(C375:X375)</f>
        <v>0</v>
      </c>
    </row>
    <row r="376" spans="1:25" ht="21" customHeight="1">
      <c r="A376" s="93">
        <v>331300</v>
      </c>
      <c r="B376" s="68" t="s">
        <v>199</v>
      </c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164"/>
      <c r="P376" s="164"/>
      <c r="Q376" s="164"/>
      <c r="R376" s="70"/>
      <c r="S376" s="70"/>
      <c r="T376" s="70"/>
      <c r="U376" s="70"/>
      <c r="V376" s="70"/>
      <c r="W376" s="70"/>
      <c r="X376" s="70"/>
      <c r="Y376" s="95">
        <f t="shared" ref="Y376:Y380" si="78">SUM(C376:X376)</f>
        <v>0</v>
      </c>
    </row>
    <row r="377" spans="1:25" ht="21" customHeight="1">
      <c r="A377" s="93">
        <v>331400</v>
      </c>
      <c r="B377" s="68" t="s">
        <v>196</v>
      </c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164"/>
      <c r="P377" s="164"/>
      <c r="Q377" s="164"/>
      <c r="R377" s="70"/>
      <c r="S377" s="70"/>
      <c r="T377" s="70"/>
      <c r="U377" s="70"/>
      <c r="V377" s="70"/>
      <c r="W377" s="70"/>
      <c r="X377" s="70"/>
      <c r="Y377" s="95">
        <f t="shared" si="78"/>
        <v>0</v>
      </c>
    </row>
    <row r="378" spans="1:25" ht="21" customHeight="1">
      <c r="A378" s="93">
        <v>331500</v>
      </c>
      <c r="B378" s="68" t="s">
        <v>200</v>
      </c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164"/>
      <c r="P378" s="164"/>
      <c r="Q378" s="164"/>
      <c r="R378" s="70"/>
      <c r="S378" s="70"/>
      <c r="T378" s="70"/>
      <c r="U378" s="70"/>
      <c r="V378" s="70"/>
      <c r="W378" s="70"/>
      <c r="X378" s="70"/>
      <c r="Y378" s="95">
        <f t="shared" si="78"/>
        <v>0</v>
      </c>
    </row>
    <row r="379" spans="1:25" ht="21" customHeight="1">
      <c r="A379" s="96">
        <v>331700</v>
      </c>
      <c r="B379" s="69" t="s">
        <v>201</v>
      </c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165"/>
      <c r="P379" s="165"/>
      <c r="Q379" s="165"/>
      <c r="R379" s="76"/>
      <c r="S379" s="76"/>
      <c r="T379" s="76"/>
      <c r="U379" s="76"/>
      <c r="V379" s="76"/>
      <c r="W379" s="76"/>
      <c r="X379" s="76"/>
      <c r="Y379" s="95">
        <f t="shared" si="78"/>
        <v>0</v>
      </c>
    </row>
    <row r="380" spans="1:25" ht="21" customHeight="1">
      <c r="A380" s="432" t="s">
        <v>391</v>
      </c>
      <c r="B380" s="433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67"/>
      <c r="P380" s="167"/>
      <c r="Q380" s="167"/>
      <c r="R380" s="100"/>
      <c r="S380" s="100"/>
      <c r="T380" s="100"/>
      <c r="U380" s="100"/>
      <c r="V380" s="100"/>
      <c r="W380" s="100"/>
      <c r="X380" s="100"/>
      <c r="Y380" s="101">
        <f t="shared" si="78"/>
        <v>0</v>
      </c>
    </row>
    <row r="381" spans="1:25" ht="21" customHeight="1">
      <c r="A381" s="93">
        <v>340100</v>
      </c>
      <c r="B381" s="68" t="s">
        <v>202</v>
      </c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164"/>
      <c r="P381" s="164"/>
      <c r="Q381" s="164"/>
      <c r="R381" s="70"/>
      <c r="S381" s="70"/>
      <c r="T381" s="70"/>
      <c r="U381" s="70"/>
      <c r="V381" s="70"/>
      <c r="W381" s="70"/>
      <c r="X381" s="70"/>
      <c r="Y381" s="95">
        <f>SUM(C381:X381)</f>
        <v>0</v>
      </c>
    </row>
    <row r="382" spans="1:25" ht="21" customHeight="1">
      <c r="A382" s="93">
        <v>340300</v>
      </c>
      <c r="B382" s="68" t="s">
        <v>203</v>
      </c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164"/>
      <c r="P382" s="164"/>
      <c r="Q382" s="164"/>
      <c r="R382" s="70"/>
      <c r="S382" s="70"/>
      <c r="T382" s="70"/>
      <c r="U382" s="70"/>
      <c r="V382" s="70"/>
      <c r="W382" s="70"/>
      <c r="X382" s="70"/>
      <c r="Y382" s="95">
        <f t="shared" ref="Y382:Y397" si="79">SUM(C382:X382)</f>
        <v>0</v>
      </c>
    </row>
    <row r="383" spans="1:25" ht="21" customHeight="1">
      <c r="A383" s="93">
        <v>340400</v>
      </c>
      <c r="B383" s="68" t="s">
        <v>204</v>
      </c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164"/>
      <c r="P383" s="164"/>
      <c r="Q383" s="164"/>
      <c r="R383" s="70"/>
      <c r="S383" s="70"/>
      <c r="T383" s="70"/>
      <c r="U383" s="70"/>
      <c r="V383" s="70"/>
      <c r="W383" s="70"/>
      <c r="X383" s="70"/>
      <c r="Y383" s="95">
        <f t="shared" si="79"/>
        <v>0</v>
      </c>
    </row>
    <row r="384" spans="1:25" ht="21" customHeight="1">
      <c r="A384" s="96">
        <v>340500</v>
      </c>
      <c r="B384" s="69" t="s">
        <v>205</v>
      </c>
      <c r="C384" s="70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165"/>
      <c r="P384" s="165"/>
      <c r="Q384" s="165"/>
      <c r="R384" s="76"/>
      <c r="S384" s="76"/>
      <c r="T384" s="76"/>
      <c r="U384" s="76"/>
      <c r="V384" s="76"/>
      <c r="W384" s="76"/>
      <c r="X384" s="76"/>
      <c r="Y384" s="98">
        <f t="shared" si="79"/>
        <v>0</v>
      </c>
    </row>
    <row r="385" spans="1:25" ht="21" customHeight="1">
      <c r="A385" s="432" t="s">
        <v>392</v>
      </c>
      <c r="B385" s="433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67"/>
      <c r="P385" s="167"/>
      <c r="Q385" s="167"/>
      <c r="R385" s="100"/>
      <c r="S385" s="100"/>
      <c r="T385" s="100"/>
      <c r="U385" s="100"/>
      <c r="V385" s="100"/>
      <c r="W385" s="100"/>
      <c r="X385" s="100"/>
      <c r="Y385" s="101">
        <f t="shared" si="79"/>
        <v>0</v>
      </c>
    </row>
    <row r="386" spans="1:25" ht="21" customHeight="1">
      <c r="A386" s="93">
        <v>410400</v>
      </c>
      <c r="B386" s="68" t="s">
        <v>206</v>
      </c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164"/>
      <c r="P386" s="164"/>
      <c r="Q386" s="164"/>
      <c r="R386" s="70"/>
      <c r="S386" s="70"/>
      <c r="T386" s="70"/>
      <c r="U386" s="70"/>
      <c r="V386" s="70"/>
      <c r="W386" s="70"/>
      <c r="X386" s="70"/>
      <c r="Y386" s="95">
        <f t="shared" si="79"/>
        <v>0</v>
      </c>
    </row>
    <row r="387" spans="1:25" ht="21" customHeight="1">
      <c r="A387" s="93">
        <v>410200</v>
      </c>
      <c r="B387" s="68" t="s">
        <v>224</v>
      </c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164"/>
      <c r="P387" s="164"/>
      <c r="Q387" s="164"/>
      <c r="R387" s="70"/>
      <c r="S387" s="70"/>
      <c r="T387" s="70"/>
      <c r="U387" s="70"/>
      <c r="V387" s="70"/>
      <c r="W387" s="70"/>
      <c r="X387" s="70"/>
      <c r="Y387" s="95">
        <f t="shared" si="79"/>
        <v>0</v>
      </c>
    </row>
    <row r="388" spans="1:25" ht="21" customHeight="1">
      <c r="A388" s="93">
        <v>410300</v>
      </c>
      <c r="B388" s="68" t="s">
        <v>207</v>
      </c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164"/>
      <c r="P388" s="164"/>
      <c r="Q388" s="164"/>
      <c r="R388" s="70"/>
      <c r="S388" s="70"/>
      <c r="T388" s="70"/>
      <c r="U388" s="70"/>
      <c r="V388" s="70"/>
      <c r="W388" s="70"/>
      <c r="X388" s="70"/>
      <c r="Y388" s="95">
        <f t="shared" si="79"/>
        <v>0</v>
      </c>
    </row>
    <row r="389" spans="1:25" ht="21" customHeight="1">
      <c r="A389" s="93">
        <v>410400</v>
      </c>
      <c r="B389" s="68" t="s">
        <v>225</v>
      </c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165"/>
      <c r="P389" s="165"/>
      <c r="Q389" s="165"/>
      <c r="R389" s="76"/>
      <c r="S389" s="76"/>
      <c r="T389" s="76"/>
      <c r="U389" s="76"/>
      <c r="V389" s="76"/>
      <c r="W389" s="76"/>
      <c r="X389" s="76"/>
      <c r="Y389" s="95">
        <f t="shared" si="79"/>
        <v>0</v>
      </c>
    </row>
    <row r="390" spans="1:25" ht="21" customHeight="1">
      <c r="A390" s="93">
        <v>410500</v>
      </c>
      <c r="B390" s="68" t="s">
        <v>226</v>
      </c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165"/>
      <c r="P390" s="165"/>
      <c r="Q390" s="165"/>
      <c r="R390" s="76"/>
      <c r="S390" s="76"/>
      <c r="T390" s="76"/>
      <c r="U390" s="76"/>
      <c r="V390" s="76"/>
      <c r="W390" s="76"/>
      <c r="X390" s="76"/>
      <c r="Y390" s="95">
        <f t="shared" si="79"/>
        <v>0</v>
      </c>
    </row>
    <row r="391" spans="1:25" ht="21" customHeight="1">
      <c r="A391" s="93">
        <v>410600</v>
      </c>
      <c r="B391" s="68" t="s">
        <v>227</v>
      </c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165"/>
      <c r="P391" s="165"/>
      <c r="Q391" s="165"/>
      <c r="R391" s="76"/>
      <c r="S391" s="76"/>
      <c r="T391" s="76"/>
      <c r="U391" s="76"/>
      <c r="V391" s="76"/>
      <c r="W391" s="76"/>
      <c r="X391" s="76"/>
      <c r="Y391" s="95">
        <f t="shared" si="79"/>
        <v>0</v>
      </c>
    </row>
    <row r="392" spans="1:25" ht="21" customHeight="1">
      <c r="A392" s="93">
        <v>410700</v>
      </c>
      <c r="B392" s="68" t="s">
        <v>208</v>
      </c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164"/>
      <c r="P392" s="164"/>
      <c r="Q392" s="164"/>
      <c r="R392" s="70"/>
      <c r="S392" s="70"/>
      <c r="T392" s="70"/>
      <c r="U392" s="70"/>
      <c r="V392" s="70"/>
      <c r="W392" s="70"/>
      <c r="X392" s="70"/>
      <c r="Y392" s="95">
        <f t="shared" si="79"/>
        <v>0</v>
      </c>
    </row>
    <row r="393" spans="1:25" ht="21" customHeight="1">
      <c r="A393" s="93">
        <v>410800</v>
      </c>
      <c r="B393" s="68" t="s">
        <v>228</v>
      </c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165"/>
      <c r="P393" s="165"/>
      <c r="Q393" s="165"/>
      <c r="R393" s="76"/>
      <c r="S393" s="76"/>
      <c r="T393" s="76"/>
      <c r="U393" s="76"/>
      <c r="V393" s="76"/>
      <c r="W393" s="76"/>
      <c r="X393" s="76"/>
      <c r="Y393" s="95">
        <f t="shared" si="79"/>
        <v>0</v>
      </c>
    </row>
    <row r="394" spans="1:25" ht="21" customHeight="1">
      <c r="A394" s="93">
        <v>410900</v>
      </c>
      <c r="B394" s="68" t="s">
        <v>243</v>
      </c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165"/>
      <c r="P394" s="165"/>
      <c r="Q394" s="165"/>
      <c r="R394" s="76"/>
      <c r="S394" s="76"/>
      <c r="T394" s="76"/>
      <c r="U394" s="76"/>
      <c r="V394" s="76"/>
      <c r="W394" s="76"/>
      <c r="X394" s="76"/>
      <c r="Y394" s="95">
        <f t="shared" si="79"/>
        <v>0</v>
      </c>
    </row>
    <row r="395" spans="1:25" ht="21" customHeight="1">
      <c r="A395" s="93">
        <v>411000</v>
      </c>
      <c r="B395" s="68" t="s">
        <v>295</v>
      </c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165"/>
      <c r="P395" s="165"/>
      <c r="Q395" s="165"/>
      <c r="R395" s="76"/>
      <c r="S395" s="76"/>
      <c r="T395" s="76"/>
      <c r="U395" s="76"/>
      <c r="V395" s="76"/>
      <c r="W395" s="76"/>
      <c r="X395" s="76"/>
      <c r="Y395" s="95">
        <f t="shared" si="79"/>
        <v>0</v>
      </c>
    </row>
    <row r="396" spans="1:25" ht="21" customHeight="1">
      <c r="A396" s="93">
        <v>411100</v>
      </c>
      <c r="B396" s="68" t="s">
        <v>260</v>
      </c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165"/>
      <c r="P396" s="165"/>
      <c r="Q396" s="165"/>
      <c r="R396" s="76"/>
      <c r="S396" s="76"/>
      <c r="T396" s="76"/>
      <c r="U396" s="76"/>
      <c r="V396" s="76"/>
      <c r="W396" s="76"/>
      <c r="X396" s="76"/>
      <c r="Y396" s="95">
        <f t="shared" si="79"/>
        <v>0</v>
      </c>
    </row>
    <row r="397" spans="1:25" ht="21" customHeight="1">
      <c r="A397" s="93">
        <v>411300</v>
      </c>
      <c r="B397" s="68" t="s">
        <v>296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165"/>
      <c r="P397" s="165"/>
      <c r="Q397" s="165"/>
      <c r="R397" s="76"/>
      <c r="S397" s="76"/>
      <c r="T397" s="76"/>
      <c r="U397" s="76"/>
      <c r="V397" s="76"/>
      <c r="W397" s="76"/>
      <c r="X397" s="76"/>
      <c r="Y397" s="95">
        <f t="shared" si="79"/>
        <v>0</v>
      </c>
    </row>
    <row r="398" spans="1:25" ht="21" customHeight="1">
      <c r="A398" s="93">
        <v>411600</v>
      </c>
      <c r="B398" s="68" t="s">
        <v>229</v>
      </c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164"/>
      <c r="P398" s="164"/>
      <c r="Q398" s="164"/>
      <c r="R398" s="70"/>
      <c r="S398" s="70"/>
      <c r="T398" s="70"/>
      <c r="U398" s="70"/>
      <c r="V398" s="70"/>
      <c r="W398" s="70"/>
      <c r="X398" s="70"/>
      <c r="Y398" s="95">
        <f>SUM(C398:X398)</f>
        <v>0</v>
      </c>
    </row>
    <row r="399" spans="1:25" ht="21" customHeight="1">
      <c r="A399" s="93">
        <v>411800</v>
      </c>
      <c r="B399" s="68" t="s">
        <v>209</v>
      </c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164"/>
      <c r="P399" s="164"/>
      <c r="Q399" s="164"/>
      <c r="R399" s="70"/>
      <c r="S399" s="70"/>
      <c r="T399" s="70"/>
      <c r="U399" s="70"/>
      <c r="V399" s="70"/>
      <c r="W399" s="70">
        <v>0</v>
      </c>
      <c r="X399" s="70"/>
      <c r="Y399" s="95">
        <f>SUM(C399:X399)</f>
        <v>0</v>
      </c>
    </row>
    <row r="400" spans="1:25" ht="21" customHeight="1">
      <c r="A400" s="435" t="s">
        <v>139</v>
      </c>
      <c r="B400" s="435"/>
      <c r="C400" s="434" t="s">
        <v>141</v>
      </c>
      <c r="D400" s="434"/>
      <c r="E400" s="437" t="s">
        <v>144</v>
      </c>
      <c r="F400" s="438"/>
      <c r="G400" s="434" t="s">
        <v>146</v>
      </c>
      <c r="H400" s="435"/>
      <c r="I400" s="437" t="s">
        <v>160</v>
      </c>
      <c r="J400" s="438"/>
      <c r="K400" s="370" t="s">
        <v>161</v>
      </c>
      <c r="L400" s="437" t="s">
        <v>162</v>
      </c>
      <c r="M400" s="439"/>
      <c r="N400" s="439"/>
      <c r="O400" s="438"/>
      <c r="P400" s="437" t="s">
        <v>163</v>
      </c>
      <c r="Q400" s="438"/>
      <c r="R400" s="437" t="s">
        <v>164</v>
      </c>
      <c r="S400" s="439"/>
      <c r="T400" s="438"/>
      <c r="U400" s="434" t="s">
        <v>165</v>
      </c>
      <c r="V400" s="435"/>
      <c r="W400" s="370" t="s">
        <v>212</v>
      </c>
      <c r="X400" s="370" t="s">
        <v>166</v>
      </c>
      <c r="Y400" s="436" t="s">
        <v>17</v>
      </c>
    </row>
    <row r="401" spans="1:25" ht="21" customHeight="1">
      <c r="A401" s="435" t="s">
        <v>140</v>
      </c>
      <c r="B401" s="435"/>
      <c r="C401" s="370" t="s">
        <v>142</v>
      </c>
      <c r="D401" s="370" t="s">
        <v>143</v>
      </c>
      <c r="E401" s="370" t="s">
        <v>145</v>
      </c>
      <c r="F401" s="370" t="s">
        <v>214</v>
      </c>
      <c r="G401" s="370" t="s">
        <v>147</v>
      </c>
      <c r="H401" s="370" t="s">
        <v>148</v>
      </c>
      <c r="I401" s="370" t="s">
        <v>149</v>
      </c>
      <c r="J401" s="370" t="s">
        <v>150</v>
      </c>
      <c r="K401" s="370" t="s">
        <v>151</v>
      </c>
      <c r="L401" s="370" t="s">
        <v>152</v>
      </c>
      <c r="M401" s="370" t="s">
        <v>153</v>
      </c>
      <c r="N401" s="370" t="s">
        <v>238</v>
      </c>
      <c r="O401" s="269" t="s">
        <v>331</v>
      </c>
      <c r="P401" s="371" t="s">
        <v>303</v>
      </c>
      <c r="Q401" s="371" t="s">
        <v>154</v>
      </c>
      <c r="R401" s="370" t="s">
        <v>155</v>
      </c>
      <c r="S401" s="370" t="s">
        <v>156</v>
      </c>
      <c r="T401" s="370" t="s">
        <v>216</v>
      </c>
      <c r="U401" s="370" t="s">
        <v>157</v>
      </c>
      <c r="V401" s="370" t="s">
        <v>158</v>
      </c>
      <c r="W401" s="370" t="s">
        <v>213</v>
      </c>
      <c r="X401" s="370" t="s">
        <v>159</v>
      </c>
      <c r="Y401" s="436"/>
    </row>
    <row r="402" spans="1:25" ht="21" customHeight="1">
      <c r="A402" s="432" t="s">
        <v>393</v>
      </c>
      <c r="B402" s="433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67"/>
      <c r="P402" s="167"/>
      <c r="Q402" s="167"/>
      <c r="R402" s="100"/>
      <c r="S402" s="100"/>
      <c r="T402" s="100"/>
      <c r="U402" s="100"/>
      <c r="V402" s="100"/>
      <c r="W402" s="100"/>
      <c r="X402" s="100"/>
      <c r="Y402" s="101">
        <f>SUM(C402:X402)</f>
        <v>0</v>
      </c>
    </row>
    <row r="403" spans="1:25" ht="21" customHeight="1">
      <c r="A403" s="93">
        <v>420700</v>
      </c>
      <c r="B403" s="94" t="s">
        <v>394</v>
      </c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164"/>
      <c r="P403" s="164"/>
      <c r="Q403" s="164"/>
      <c r="R403" s="70"/>
      <c r="S403" s="70"/>
      <c r="T403" s="70"/>
      <c r="U403" s="70"/>
      <c r="V403" s="70"/>
      <c r="W403" s="70"/>
      <c r="X403" s="70"/>
      <c r="Y403" s="95">
        <f>SUM(C403:X403)</f>
        <v>0</v>
      </c>
    </row>
    <row r="404" spans="1:25" ht="21" customHeight="1">
      <c r="A404" s="96">
        <v>421000</v>
      </c>
      <c r="B404" s="97" t="s">
        <v>395</v>
      </c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165"/>
      <c r="P404" s="165"/>
      <c r="Q404" s="165"/>
      <c r="R404" s="76"/>
      <c r="S404" s="76"/>
      <c r="T404" s="76"/>
      <c r="U404" s="76"/>
      <c r="V404" s="76"/>
      <c r="W404" s="76"/>
      <c r="X404" s="76"/>
      <c r="Y404" s="95">
        <f t="shared" ref="Y404:Y407" si="80">SUM(C404:X404)</f>
        <v>0</v>
      </c>
    </row>
    <row r="405" spans="1:25" ht="21" customHeight="1">
      <c r="A405" s="96">
        <v>421100</v>
      </c>
      <c r="B405" s="97" t="s">
        <v>211</v>
      </c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165"/>
      <c r="P405" s="165"/>
      <c r="Q405" s="165"/>
      <c r="R405" s="76"/>
      <c r="S405" s="76"/>
      <c r="T405" s="76"/>
      <c r="U405" s="76"/>
      <c r="V405" s="76"/>
      <c r="W405" s="76"/>
      <c r="X405" s="76"/>
      <c r="Y405" s="95">
        <f t="shared" si="80"/>
        <v>0</v>
      </c>
    </row>
    <row r="406" spans="1:25" ht="21" customHeight="1">
      <c r="A406" s="432" t="s">
        <v>397</v>
      </c>
      <c r="B406" s="433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67"/>
      <c r="P406" s="167"/>
      <c r="Q406" s="167"/>
      <c r="R406" s="100"/>
      <c r="S406" s="100"/>
      <c r="T406" s="100"/>
      <c r="U406" s="100"/>
      <c r="V406" s="100"/>
      <c r="W406" s="100"/>
      <c r="X406" s="100"/>
      <c r="Y406" s="101">
        <f t="shared" si="80"/>
        <v>0</v>
      </c>
    </row>
    <row r="407" spans="1:25" ht="21" customHeight="1">
      <c r="A407" s="93">
        <v>510100</v>
      </c>
      <c r="B407" s="102" t="s">
        <v>12</v>
      </c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164"/>
      <c r="P407" s="164"/>
      <c r="Q407" s="164"/>
      <c r="R407" s="70"/>
      <c r="S407" s="70"/>
      <c r="T407" s="70"/>
      <c r="U407" s="70"/>
      <c r="V407" s="70"/>
      <c r="W407" s="70"/>
      <c r="X407" s="70"/>
      <c r="Y407" s="95">
        <f t="shared" si="80"/>
        <v>0</v>
      </c>
    </row>
    <row r="408" spans="1:25" ht="21" customHeight="1">
      <c r="A408" s="432" t="s">
        <v>396</v>
      </c>
      <c r="B408" s="433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67"/>
      <c r="P408" s="167"/>
      <c r="Q408" s="167"/>
      <c r="R408" s="100"/>
      <c r="S408" s="100"/>
      <c r="T408" s="100"/>
      <c r="U408" s="100"/>
      <c r="V408" s="100"/>
      <c r="W408" s="100"/>
      <c r="X408" s="100"/>
      <c r="Y408" s="101">
        <f>SUM(C408:X408)</f>
        <v>0</v>
      </c>
    </row>
    <row r="409" spans="1:25" ht="21" customHeight="1">
      <c r="A409" s="93">
        <v>610100</v>
      </c>
      <c r="B409" s="94" t="s">
        <v>398</v>
      </c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164"/>
      <c r="P409" s="164"/>
      <c r="Q409" s="164"/>
      <c r="R409" s="70"/>
      <c r="S409" s="70"/>
      <c r="T409" s="70"/>
      <c r="U409" s="70"/>
      <c r="V409" s="70"/>
      <c r="W409" s="70"/>
      <c r="X409" s="70"/>
      <c r="Y409" s="95">
        <f>SUM(C409:X409)</f>
        <v>0</v>
      </c>
    </row>
    <row r="410" spans="1:25" ht="21" customHeight="1">
      <c r="A410" s="96">
        <v>610200</v>
      </c>
      <c r="B410" s="97" t="s">
        <v>399</v>
      </c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165"/>
      <c r="P410" s="165"/>
      <c r="Q410" s="165"/>
      <c r="R410" s="76"/>
      <c r="S410" s="76"/>
      <c r="T410" s="76"/>
      <c r="U410" s="76"/>
      <c r="V410" s="76"/>
      <c r="W410" s="76"/>
      <c r="X410" s="76"/>
      <c r="Y410" s="95">
        <f t="shared" ref="Y410" si="81">SUM(C410:X410)</f>
        <v>0</v>
      </c>
    </row>
    <row r="411" spans="1:25" ht="21" customHeight="1">
      <c r="A411" s="96">
        <v>610300</v>
      </c>
      <c r="B411" s="97" t="s">
        <v>400</v>
      </c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165"/>
      <c r="P411" s="165"/>
      <c r="Q411" s="165"/>
      <c r="R411" s="76"/>
      <c r="S411" s="76"/>
      <c r="T411" s="76"/>
      <c r="U411" s="76"/>
      <c r="V411" s="76"/>
      <c r="W411" s="76"/>
      <c r="X411" s="76"/>
      <c r="Y411" s="95">
        <f>SUM(C411:X411)</f>
        <v>0</v>
      </c>
    </row>
    <row r="412" spans="1:25" ht="21" customHeight="1">
      <c r="A412" s="333">
        <v>610400</v>
      </c>
      <c r="B412" s="334" t="s">
        <v>401</v>
      </c>
      <c r="C412" s="239"/>
      <c r="D412" s="239"/>
      <c r="E412" s="239"/>
      <c r="F412" s="239"/>
      <c r="G412" s="239"/>
      <c r="H412" s="239"/>
      <c r="I412" s="239"/>
      <c r="J412" s="239"/>
      <c r="K412" s="239"/>
      <c r="L412" s="239"/>
      <c r="M412" s="239"/>
      <c r="N412" s="239"/>
      <c r="O412" s="335"/>
      <c r="P412" s="335"/>
      <c r="Q412" s="335"/>
      <c r="R412" s="239"/>
      <c r="S412" s="239"/>
      <c r="T412" s="239"/>
      <c r="U412" s="239"/>
      <c r="V412" s="239"/>
      <c r="W412" s="239"/>
      <c r="X412" s="239"/>
      <c r="Y412" s="99">
        <f t="shared" ref="Y412" si="82">SUM(C412:X412)</f>
        <v>0</v>
      </c>
    </row>
  </sheetData>
  <mergeCells count="284">
    <mergeCell ref="A402:B402"/>
    <mergeCell ref="A406:B406"/>
    <mergeCell ref="A408:B408"/>
    <mergeCell ref="P372:Q372"/>
    <mergeCell ref="R372:T372"/>
    <mergeCell ref="U372:V372"/>
    <mergeCell ref="Y372:Y373"/>
    <mergeCell ref="A373:B373"/>
    <mergeCell ref="A380:B380"/>
    <mergeCell ref="A385:B385"/>
    <mergeCell ref="A400:B400"/>
    <mergeCell ref="C400:D400"/>
    <mergeCell ref="E400:F400"/>
    <mergeCell ref="G400:H400"/>
    <mergeCell ref="I400:J400"/>
    <mergeCell ref="L400:O400"/>
    <mergeCell ref="P400:Q400"/>
    <mergeCell ref="R400:T400"/>
    <mergeCell ref="U400:V400"/>
    <mergeCell ref="Y400:Y401"/>
    <mergeCell ref="A401:B401"/>
    <mergeCell ref="A350:B350"/>
    <mergeCell ref="A358:B358"/>
    <mergeCell ref="A363:B363"/>
    <mergeCell ref="A372:B372"/>
    <mergeCell ref="C372:D372"/>
    <mergeCell ref="E372:F372"/>
    <mergeCell ref="G372:H372"/>
    <mergeCell ref="I372:J372"/>
    <mergeCell ref="L372:O372"/>
    <mergeCell ref="P346:Q346"/>
    <mergeCell ref="R346:T346"/>
    <mergeCell ref="U346:V346"/>
    <mergeCell ref="Y346:Y347"/>
    <mergeCell ref="A347:B347"/>
    <mergeCell ref="A321:B321"/>
    <mergeCell ref="C321:D321"/>
    <mergeCell ref="E321:F321"/>
    <mergeCell ref="G321:H321"/>
    <mergeCell ref="I321:J321"/>
    <mergeCell ref="L321:O321"/>
    <mergeCell ref="P321:Q321"/>
    <mergeCell ref="R321:T321"/>
    <mergeCell ref="A323:B323"/>
    <mergeCell ref="A334:B334"/>
    <mergeCell ref="A340:B340"/>
    <mergeCell ref="A346:B346"/>
    <mergeCell ref="C346:D346"/>
    <mergeCell ref="E346:F346"/>
    <mergeCell ref="G346:H346"/>
    <mergeCell ref="I346:J346"/>
    <mergeCell ref="L346:O346"/>
    <mergeCell ref="U321:V321"/>
    <mergeCell ref="A316:N316"/>
    <mergeCell ref="P316:Y316"/>
    <mergeCell ref="A317:N317"/>
    <mergeCell ref="P317:Y317"/>
    <mergeCell ref="A318:N318"/>
    <mergeCell ref="P318:Y318"/>
    <mergeCell ref="A319:N319"/>
    <mergeCell ref="P319:Y319"/>
    <mergeCell ref="A320:N320"/>
    <mergeCell ref="P320:Y320"/>
    <mergeCell ref="Y321:Y322"/>
    <mergeCell ref="A322:B322"/>
    <mergeCell ref="L275:O275"/>
    <mergeCell ref="A305:B305"/>
    <mergeCell ref="A309:B309"/>
    <mergeCell ref="A311:B311"/>
    <mergeCell ref="P275:Q275"/>
    <mergeCell ref="R275:T275"/>
    <mergeCell ref="U275:V275"/>
    <mergeCell ref="Y275:Y276"/>
    <mergeCell ref="A283:B283"/>
    <mergeCell ref="A288:B288"/>
    <mergeCell ref="A303:B303"/>
    <mergeCell ref="C303:D303"/>
    <mergeCell ref="E303:F303"/>
    <mergeCell ref="G303:H303"/>
    <mergeCell ref="I303:J303"/>
    <mergeCell ref="L303:O303"/>
    <mergeCell ref="P303:Q303"/>
    <mergeCell ref="R303:T303"/>
    <mergeCell ref="U303:V303"/>
    <mergeCell ref="Y303:Y304"/>
    <mergeCell ref="A304:B304"/>
    <mergeCell ref="A276:B276"/>
    <mergeCell ref="A219:N219"/>
    <mergeCell ref="P219:Y219"/>
    <mergeCell ref="A224:B224"/>
    <mergeCell ref="C224:D224"/>
    <mergeCell ref="E224:F224"/>
    <mergeCell ref="G224:H224"/>
    <mergeCell ref="I224:J224"/>
    <mergeCell ref="L224:O224"/>
    <mergeCell ref="P224:Q224"/>
    <mergeCell ref="R224:T224"/>
    <mergeCell ref="U224:V224"/>
    <mergeCell ref="Y224:Y225"/>
    <mergeCell ref="A225:B225"/>
    <mergeCell ref="A220:N220"/>
    <mergeCell ref="P220:Y220"/>
    <mergeCell ref="A221:N221"/>
    <mergeCell ref="P221:Y221"/>
    <mergeCell ref="A222:N222"/>
    <mergeCell ref="P222:Y222"/>
    <mergeCell ref="A223:N223"/>
    <mergeCell ref="P223:Y223"/>
    <mergeCell ref="A253:B253"/>
    <mergeCell ref="A261:B261"/>
    <mergeCell ref="A266:B266"/>
    <mergeCell ref="A275:B275"/>
    <mergeCell ref="C275:D275"/>
    <mergeCell ref="E275:F275"/>
    <mergeCell ref="G275:H275"/>
    <mergeCell ref="I275:J275"/>
    <mergeCell ref="I249:J249"/>
    <mergeCell ref="A250:B250"/>
    <mergeCell ref="G249:H249"/>
    <mergeCell ref="A237:B237"/>
    <mergeCell ref="A243:B243"/>
    <mergeCell ref="A249:B249"/>
    <mergeCell ref="C249:D249"/>
    <mergeCell ref="E249:F249"/>
    <mergeCell ref="A226:B226"/>
    <mergeCell ref="L249:O249"/>
    <mergeCell ref="P249:Q249"/>
    <mergeCell ref="R249:T249"/>
    <mergeCell ref="U249:V249"/>
    <mergeCell ref="Y249:Y250"/>
    <mergeCell ref="A121:B121"/>
    <mergeCell ref="A4:N4"/>
    <mergeCell ref="A5:N5"/>
    <mergeCell ref="P4:Y4"/>
    <mergeCell ref="P5:Y5"/>
    <mergeCell ref="A111:B111"/>
    <mergeCell ref="A112:B112"/>
    <mergeCell ref="A113:B113"/>
    <mergeCell ref="A118:B118"/>
    <mergeCell ref="A119:B119"/>
    <mergeCell ref="A120:B120"/>
    <mergeCell ref="Y101:Y102"/>
    <mergeCell ref="A102:B102"/>
    <mergeCell ref="A103:B103"/>
    <mergeCell ref="A107:B107"/>
    <mergeCell ref="A108:B108"/>
    <mergeCell ref="R101:T101"/>
    <mergeCell ref="U101:V101"/>
    <mergeCell ref="A84:B84"/>
    <mergeCell ref="A99:B99"/>
    <mergeCell ref="A100:B100"/>
    <mergeCell ref="A101:B101"/>
    <mergeCell ref="C101:D101"/>
    <mergeCell ref="E101:F101"/>
    <mergeCell ref="A109:B109"/>
    <mergeCell ref="G101:H101"/>
    <mergeCell ref="I101:J101"/>
    <mergeCell ref="L101:O101"/>
    <mergeCell ref="P101:Q101"/>
    <mergeCell ref="A83:B83"/>
    <mergeCell ref="I67:J67"/>
    <mergeCell ref="L67:O67"/>
    <mergeCell ref="P67:Q67"/>
    <mergeCell ref="R67:T67"/>
    <mergeCell ref="A68:B68"/>
    <mergeCell ref="A75:B75"/>
    <mergeCell ref="A76:B76"/>
    <mergeCell ref="A77:B77"/>
    <mergeCell ref="A82:B82"/>
    <mergeCell ref="A35:B35"/>
    <mergeCell ref="C35:D35"/>
    <mergeCell ref="E35:F35"/>
    <mergeCell ref="G35:H35"/>
    <mergeCell ref="I35:J35"/>
    <mergeCell ref="L35:O35"/>
    <mergeCell ref="A36:B36"/>
    <mergeCell ref="A39:B39"/>
    <mergeCell ref="U67:V67"/>
    <mergeCell ref="Y67:Y68"/>
    <mergeCell ref="A57:B57"/>
    <mergeCell ref="A58:B58"/>
    <mergeCell ref="A67:B67"/>
    <mergeCell ref="C67:D67"/>
    <mergeCell ref="E67:F67"/>
    <mergeCell ref="G67:H67"/>
    <mergeCell ref="A1:N1"/>
    <mergeCell ref="P1:Y1"/>
    <mergeCell ref="A2:N2"/>
    <mergeCell ref="P2:Y2"/>
    <mergeCell ref="A3:N3"/>
    <mergeCell ref="P3:Y3"/>
    <mergeCell ref="A8:B8"/>
    <mergeCell ref="A6:B6"/>
    <mergeCell ref="C6:D6"/>
    <mergeCell ref="E6:F6"/>
    <mergeCell ref="G6:H6"/>
    <mergeCell ref="P6:Q6"/>
    <mergeCell ref="R6:T6"/>
    <mergeCell ref="U6:V6"/>
    <mergeCell ref="Y6:Y7"/>
    <mergeCell ref="A7:B7"/>
    <mergeCell ref="I6:J6"/>
    <mergeCell ref="L6:O6"/>
    <mergeCell ref="A122:N122"/>
    <mergeCell ref="P122:Y122"/>
    <mergeCell ref="A123:N123"/>
    <mergeCell ref="P123:Y123"/>
    <mergeCell ref="A124:N124"/>
    <mergeCell ref="P124:Y124"/>
    <mergeCell ref="A19:B19"/>
    <mergeCell ref="A20:B20"/>
    <mergeCell ref="A21:B21"/>
    <mergeCell ref="A27:B27"/>
    <mergeCell ref="A28:B28"/>
    <mergeCell ref="A56:B56"/>
    <mergeCell ref="P35:Q35"/>
    <mergeCell ref="R35:T35"/>
    <mergeCell ref="A40:B40"/>
    <mergeCell ref="A41:B41"/>
    <mergeCell ref="A49:B49"/>
    <mergeCell ref="A50:B50"/>
    <mergeCell ref="A51:B51"/>
    <mergeCell ref="A29:B29"/>
    <mergeCell ref="U35:V35"/>
    <mergeCell ref="Y35:Y36"/>
    <mergeCell ref="A146:B146"/>
    <mergeCell ref="A152:B152"/>
    <mergeCell ref="C152:D152"/>
    <mergeCell ref="E152:F152"/>
    <mergeCell ref="A129:B129"/>
    <mergeCell ref="A140:B140"/>
    <mergeCell ref="A125:N125"/>
    <mergeCell ref="P125:Y125"/>
    <mergeCell ref="A126:N126"/>
    <mergeCell ref="P126:Y126"/>
    <mergeCell ref="A127:B127"/>
    <mergeCell ref="C127:D127"/>
    <mergeCell ref="E127:F127"/>
    <mergeCell ref="G127:H127"/>
    <mergeCell ref="I127:J127"/>
    <mergeCell ref="L127:O127"/>
    <mergeCell ref="P127:Q127"/>
    <mergeCell ref="R127:T127"/>
    <mergeCell ref="U127:V127"/>
    <mergeCell ref="Y127:Y128"/>
    <mergeCell ref="A128:B128"/>
    <mergeCell ref="A169:B169"/>
    <mergeCell ref="A178:B178"/>
    <mergeCell ref="C178:D178"/>
    <mergeCell ref="E178:F178"/>
    <mergeCell ref="A156:B156"/>
    <mergeCell ref="A164:B164"/>
    <mergeCell ref="U152:V152"/>
    <mergeCell ref="Y152:Y153"/>
    <mergeCell ref="A153:B153"/>
    <mergeCell ref="G152:H152"/>
    <mergeCell ref="I152:J152"/>
    <mergeCell ref="L152:O152"/>
    <mergeCell ref="P152:Q152"/>
    <mergeCell ref="R152:T152"/>
    <mergeCell ref="A186:B186"/>
    <mergeCell ref="A191:B191"/>
    <mergeCell ref="U178:V178"/>
    <mergeCell ref="Y178:Y179"/>
    <mergeCell ref="A179:B179"/>
    <mergeCell ref="G178:H178"/>
    <mergeCell ref="I178:J178"/>
    <mergeCell ref="L178:O178"/>
    <mergeCell ref="P178:Q178"/>
    <mergeCell ref="R178:T178"/>
    <mergeCell ref="A212:B212"/>
    <mergeCell ref="A214:B214"/>
    <mergeCell ref="Y206:Y207"/>
    <mergeCell ref="A207:B207"/>
    <mergeCell ref="A208:B208"/>
    <mergeCell ref="I206:J206"/>
    <mergeCell ref="L206:O206"/>
    <mergeCell ref="P206:Q206"/>
    <mergeCell ref="R206:T206"/>
    <mergeCell ref="U206:V206"/>
    <mergeCell ref="A206:B206"/>
    <mergeCell ref="C206:D206"/>
    <mergeCell ref="E206:F206"/>
    <mergeCell ref="G206:H206"/>
  </mergeCells>
  <pageMargins left="0.39370078740157483" right="0.39370078740157483" top="0.39370078740157483" bottom="0.39370078740157483" header="0.62992125984251968" footer="0.43307086614173229"/>
  <pageSetup paperSize="9" scale="70" pageOrder="overThenDown" orientation="landscape" r:id="rId1"/>
  <headerFooter alignWithMargins="0"/>
  <rowBreaks count="14" manualBreakCount="14">
    <brk id="34" max="24" man="1"/>
    <brk id="66" max="24" man="1"/>
    <brk id="100" max="24" man="1"/>
    <brk id="121" max="24" man="1"/>
    <brk id="151" max="24" man="1"/>
    <brk id="177" max="24" man="1"/>
    <brk id="218" max="24" man="1"/>
    <brk id="248" max="24" man="1"/>
    <brk id="274" max="24" man="1"/>
    <brk id="302" max="24" man="1"/>
    <brk id="315" max="24" man="1"/>
    <brk id="345" max="24" man="1"/>
    <brk id="371" max="24" man="1"/>
    <brk id="399" max="24" man="1"/>
  </rowBreaks>
  <colBreaks count="1" manualBreakCount="1">
    <brk id="15" max="41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00000"/>
  </sheetPr>
  <dimension ref="A1:W118"/>
  <sheetViews>
    <sheetView view="pageBreakPreview" topLeftCell="A88" zoomScale="120" zoomScaleSheetLayoutView="120" workbookViewId="0">
      <pane xSplit="2" ySplit="5" topLeftCell="C96" activePane="bottomRight" state="frozen"/>
      <selection activeCell="A88" sqref="A88"/>
      <selection pane="topRight" activeCell="C88" sqref="C88"/>
      <selection pane="bottomLeft" activeCell="A93" sqref="A93"/>
      <selection pane="bottomRight" activeCell="G97" sqref="G97"/>
    </sheetView>
  </sheetViews>
  <sheetFormatPr defaultRowHeight="15"/>
  <cols>
    <col min="1" max="1" width="10" style="45" customWidth="1"/>
    <col min="2" max="2" width="8.7109375" style="20" customWidth="1"/>
    <col min="3" max="9" width="8.42578125" style="20" customWidth="1"/>
    <col min="10" max="10" width="6" style="20" hidden="1" customWidth="1"/>
    <col min="11" max="11" width="9.7109375" style="20" customWidth="1"/>
    <col min="12" max="12" width="9.28515625" style="20" customWidth="1"/>
    <col min="13" max="13" width="8.5703125" style="20" hidden="1" customWidth="1"/>
    <col min="14" max="14" width="8" style="20" hidden="1" customWidth="1"/>
    <col min="15" max="15" width="5.7109375" style="20" hidden="1" customWidth="1"/>
    <col min="16" max="16" width="4.85546875" style="20" hidden="1" customWidth="1"/>
    <col min="17" max="17" width="5" style="20" hidden="1" customWidth="1"/>
    <col min="18" max="18" width="5.140625" style="20" hidden="1" customWidth="1"/>
    <col min="19" max="19" width="5" style="20" hidden="1" customWidth="1"/>
    <col min="20" max="20" width="9.7109375" style="20" customWidth="1"/>
    <col min="21" max="21" width="9.28515625" style="20" customWidth="1"/>
    <col min="22" max="22" width="9.5703125" style="20" customWidth="1"/>
    <col min="23" max="23" width="13.42578125" bestFit="1" customWidth="1"/>
  </cols>
  <sheetData>
    <row r="1" spans="1:22">
      <c r="A1" s="451" t="s">
        <v>404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</row>
    <row r="2" spans="1:22">
      <c r="A2" s="451" t="s">
        <v>402</v>
      </c>
      <c r="B2" s="45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</row>
    <row r="3" spans="1:22">
      <c r="A3" s="452" t="s">
        <v>324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</row>
    <row r="4" spans="1:22">
      <c r="A4" s="453" t="s">
        <v>139</v>
      </c>
      <c r="B4" s="453"/>
      <c r="C4" s="454" t="s">
        <v>141</v>
      </c>
      <c r="D4" s="454"/>
      <c r="E4" s="258" t="s">
        <v>144</v>
      </c>
      <c r="F4" s="454" t="s">
        <v>146</v>
      </c>
      <c r="G4" s="453"/>
      <c r="H4" s="454" t="s">
        <v>160</v>
      </c>
      <c r="I4" s="453"/>
      <c r="J4" s="258" t="s">
        <v>161</v>
      </c>
      <c r="K4" s="455" t="s">
        <v>162</v>
      </c>
      <c r="L4" s="456"/>
      <c r="M4" s="457"/>
      <c r="N4" s="258" t="s">
        <v>163</v>
      </c>
      <c r="O4" s="455" t="s">
        <v>164</v>
      </c>
      <c r="P4" s="456"/>
      <c r="Q4" s="457"/>
      <c r="R4" s="454" t="s">
        <v>165</v>
      </c>
      <c r="S4" s="453"/>
      <c r="T4" s="258" t="s">
        <v>212</v>
      </c>
      <c r="U4" s="258" t="s">
        <v>166</v>
      </c>
      <c r="V4" s="458" t="s">
        <v>17</v>
      </c>
    </row>
    <row r="5" spans="1:22">
      <c r="A5" s="453" t="s">
        <v>140</v>
      </c>
      <c r="B5" s="453"/>
      <c r="C5" s="258" t="s">
        <v>142</v>
      </c>
      <c r="D5" s="258" t="s">
        <v>143</v>
      </c>
      <c r="E5" s="258" t="s">
        <v>145</v>
      </c>
      <c r="F5" s="258" t="s">
        <v>147</v>
      </c>
      <c r="G5" s="258" t="s">
        <v>148</v>
      </c>
      <c r="H5" s="258" t="s">
        <v>149</v>
      </c>
      <c r="I5" s="258" t="s">
        <v>150</v>
      </c>
      <c r="J5" s="258" t="s">
        <v>151</v>
      </c>
      <c r="K5" s="258" t="s">
        <v>152</v>
      </c>
      <c r="L5" s="258" t="s">
        <v>153</v>
      </c>
      <c r="M5" s="258" t="s">
        <v>238</v>
      </c>
      <c r="N5" s="258" t="s">
        <v>154</v>
      </c>
      <c r="O5" s="258" t="s">
        <v>155</v>
      </c>
      <c r="P5" s="258" t="s">
        <v>156</v>
      </c>
      <c r="Q5" s="258" t="s">
        <v>216</v>
      </c>
      <c r="R5" s="258" t="s">
        <v>157</v>
      </c>
      <c r="S5" s="258" t="s">
        <v>158</v>
      </c>
      <c r="T5" s="258" t="s">
        <v>213</v>
      </c>
      <c r="U5" s="258" t="s">
        <v>159</v>
      </c>
      <c r="V5" s="458"/>
    </row>
    <row r="6" spans="1:22">
      <c r="A6" s="445" t="s">
        <v>385</v>
      </c>
      <c r="B6" s="4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50"/>
      <c r="V6" s="50">
        <f>SUM(C6:U6)</f>
        <v>0</v>
      </c>
    </row>
    <row r="7" spans="1:22">
      <c r="A7" s="447" t="s">
        <v>175</v>
      </c>
      <c r="B7" s="448"/>
      <c r="C7" s="48">
        <f>SUM(C6)</f>
        <v>0</v>
      </c>
      <c r="D7" s="48">
        <f t="shared" ref="D7:U7" si="0">SUM(D6)</f>
        <v>0</v>
      </c>
      <c r="E7" s="48">
        <f t="shared" si="0"/>
        <v>0</v>
      </c>
      <c r="F7" s="48">
        <f t="shared" si="0"/>
        <v>0</v>
      </c>
      <c r="G7" s="48">
        <f t="shared" si="0"/>
        <v>0</v>
      </c>
      <c r="H7" s="48">
        <f t="shared" si="0"/>
        <v>0</v>
      </c>
      <c r="I7" s="48">
        <f t="shared" si="0"/>
        <v>0</v>
      </c>
      <c r="J7" s="48">
        <f t="shared" si="0"/>
        <v>0</v>
      </c>
      <c r="K7" s="48">
        <f t="shared" si="0"/>
        <v>0</v>
      </c>
      <c r="L7" s="48">
        <f t="shared" si="0"/>
        <v>0</v>
      </c>
      <c r="M7" s="48">
        <f t="shared" si="0"/>
        <v>0</v>
      </c>
      <c r="N7" s="48">
        <f t="shared" si="0"/>
        <v>0</v>
      </c>
      <c r="O7" s="48">
        <f t="shared" si="0"/>
        <v>0</v>
      </c>
      <c r="P7" s="48">
        <f t="shared" si="0"/>
        <v>0</v>
      </c>
      <c r="Q7" s="48">
        <f t="shared" si="0"/>
        <v>0</v>
      </c>
      <c r="R7" s="48">
        <f t="shared" si="0"/>
        <v>0</v>
      </c>
      <c r="S7" s="48">
        <f t="shared" si="0"/>
        <v>0</v>
      </c>
      <c r="T7" s="48">
        <f t="shared" si="0"/>
        <v>0</v>
      </c>
      <c r="U7" s="48">
        <f t="shared" si="0"/>
        <v>0</v>
      </c>
      <c r="V7" s="48">
        <f>SUM(V6)</f>
        <v>0</v>
      </c>
    </row>
    <row r="8" spans="1:22">
      <c r="A8" s="445" t="s">
        <v>386</v>
      </c>
      <c r="B8" s="446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50">
        <f>SUM(C8:U8)</f>
        <v>0</v>
      </c>
    </row>
    <row r="9" spans="1:22">
      <c r="A9" s="447" t="s">
        <v>175</v>
      </c>
      <c r="B9" s="448"/>
      <c r="C9" s="48">
        <f>SUM(C8)</f>
        <v>0</v>
      </c>
      <c r="D9" s="48">
        <f t="shared" ref="D9:U9" si="1">SUM(D8)</f>
        <v>0</v>
      </c>
      <c r="E9" s="48">
        <f t="shared" si="1"/>
        <v>0</v>
      </c>
      <c r="F9" s="48">
        <f t="shared" si="1"/>
        <v>0</v>
      </c>
      <c r="G9" s="48">
        <f t="shared" si="1"/>
        <v>0</v>
      </c>
      <c r="H9" s="48">
        <f t="shared" si="1"/>
        <v>0</v>
      </c>
      <c r="I9" s="48">
        <f t="shared" si="1"/>
        <v>0</v>
      </c>
      <c r="J9" s="48">
        <f t="shared" si="1"/>
        <v>0</v>
      </c>
      <c r="K9" s="48">
        <f t="shared" si="1"/>
        <v>0</v>
      </c>
      <c r="L9" s="48">
        <f t="shared" si="1"/>
        <v>0</v>
      </c>
      <c r="M9" s="48">
        <f t="shared" si="1"/>
        <v>0</v>
      </c>
      <c r="N9" s="48">
        <f t="shared" si="1"/>
        <v>0</v>
      </c>
      <c r="O9" s="48">
        <f t="shared" si="1"/>
        <v>0</v>
      </c>
      <c r="P9" s="48">
        <f t="shared" si="1"/>
        <v>0</v>
      </c>
      <c r="Q9" s="48">
        <f t="shared" si="1"/>
        <v>0</v>
      </c>
      <c r="R9" s="48">
        <f t="shared" si="1"/>
        <v>0</v>
      </c>
      <c r="S9" s="48">
        <f t="shared" si="1"/>
        <v>0</v>
      </c>
      <c r="T9" s="48">
        <f t="shared" si="1"/>
        <v>0</v>
      </c>
      <c r="U9" s="48">
        <f t="shared" si="1"/>
        <v>0</v>
      </c>
      <c r="V9" s="48">
        <f>SUM(V8)</f>
        <v>0</v>
      </c>
    </row>
    <row r="10" spans="1:22">
      <c r="A10" s="445" t="s">
        <v>387</v>
      </c>
      <c r="B10" s="446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</row>
    <row r="11" spans="1:22">
      <c r="A11" s="447" t="s">
        <v>175</v>
      </c>
      <c r="B11" s="448"/>
      <c r="C11" s="48">
        <f>SUM(C10)</f>
        <v>0</v>
      </c>
      <c r="D11" s="48">
        <f t="shared" ref="D11:U11" si="2">SUM(D10)</f>
        <v>0</v>
      </c>
      <c r="E11" s="48">
        <f t="shared" si="2"/>
        <v>0</v>
      </c>
      <c r="F11" s="48">
        <f t="shared" si="2"/>
        <v>0</v>
      </c>
      <c r="G11" s="48">
        <f t="shared" si="2"/>
        <v>0</v>
      </c>
      <c r="H11" s="48">
        <f t="shared" si="2"/>
        <v>0</v>
      </c>
      <c r="I11" s="48">
        <f t="shared" si="2"/>
        <v>0</v>
      </c>
      <c r="J11" s="48">
        <f t="shared" si="2"/>
        <v>0</v>
      </c>
      <c r="K11" s="48">
        <f t="shared" si="2"/>
        <v>0</v>
      </c>
      <c r="L11" s="48">
        <f t="shared" si="2"/>
        <v>0</v>
      </c>
      <c r="M11" s="48">
        <f t="shared" si="2"/>
        <v>0</v>
      </c>
      <c r="N11" s="48">
        <f t="shared" si="2"/>
        <v>0</v>
      </c>
      <c r="O11" s="48">
        <f t="shared" si="2"/>
        <v>0</v>
      </c>
      <c r="P11" s="48">
        <f t="shared" si="2"/>
        <v>0</v>
      </c>
      <c r="Q11" s="48">
        <f t="shared" si="2"/>
        <v>0</v>
      </c>
      <c r="R11" s="48">
        <f t="shared" si="2"/>
        <v>0</v>
      </c>
      <c r="S11" s="48">
        <f t="shared" si="2"/>
        <v>0</v>
      </c>
      <c r="T11" s="48">
        <f t="shared" si="2"/>
        <v>0</v>
      </c>
      <c r="U11" s="48">
        <f t="shared" si="2"/>
        <v>0</v>
      </c>
      <c r="V11" s="48">
        <f>SUM(V10)</f>
        <v>0</v>
      </c>
    </row>
    <row r="12" spans="1:22">
      <c r="A12" s="445" t="s">
        <v>388</v>
      </c>
      <c r="B12" s="446"/>
      <c r="C12" s="49"/>
      <c r="D12" s="49"/>
      <c r="E12" s="49"/>
      <c r="F12" s="49">
        <v>0</v>
      </c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</row>
    <row r="13" spans="1:22">
      <c r="A13" s="447" t="s">
        <v>175</v>
      </c>
      <c r="B13" s="448"/>
      <c r="C13" s="48">
        <f>+C12</f>
        <v>0</v>
      </c>
      <c r="D13" s="48">
        <f t="shared" ref="D13:V13" si="3">+D12</f>
        <v>0</v>
      </c>
      <c r="E13" s="48">
        <f t="shared" si="3"/>
        <v>0</v>
      </c>
      <c r="F13" s="48">
        <f t="shared" si="3"/>
        <v>0</v>
      </c>
      <c r="G13" s="48">
        <f t="shared" si="3"/>
        <v>0</v>
      </c>
      <c r="H13" s="48">
        <f t="shared" si="3"/>
        <v>0</v>
      </c>
      <c r="I13" s="48">
        <f t="shared" si="3"/>
        <v>0</v>
      </c>
      <c r="J13" s="48">
        <f t="shared" si="3"/>
        <v>0</v>
      </c>
      <c r="K13" s="48">
        <f t="shared" si="3"/>
        <v>0</v>
      </c>
      <c r="L13" s="48">
        <f t="shared" si="3"/>
        <v>0</v>
      </c>
      <c r="M13" s="48">
        <f t="shared" si="3"/>
        <v>0</v>
      </c>
      <c r="N13" s="48">
        <f t="shared" si="3"/>
        <v>0</v>
      </c>
      <c r="O13" s="48">
        <f t="shared" si="3"/>
        <v>0</v>
      </c>
      <c r="P13" s="48">
        <f t="shared" si="3"/>
        <v>0</v>
      </c>
      <c r="Q13" s="48">
        <f t="shared" si="3"/>
        <v>0</v>
      </c>
      <c r="R13" s="48">
        <f t="shared" si="3"/>
        <v>0</v>
      </c>
      <c r="S13" s="48">
        <f t="shared" si="3"/>
        <v>0</v>
      </c>
      <c r="T13" s="48">
        <f t="shared" si="3"/>
        <v>0</v>
      </c>
      <c r="U13" s="48">
        <f t="shared" si="3"/>
        <v>0</v>
      </c>
      <c r="V13" s="48">
        <f t="shared" si="3"/>
        <v>0</v>
      </c>
    </row>
    <row r="14" spans="1:22">
      <c r="A14" s="445" t="s">
        <v>389</v>
      </c>
      <c r="B14" s="446"/>
      <c r="C14" s="49">
        <v>0</v>
      </c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>
        <f>SUM(F14:U14)</f>
        <v>0</v>
      </c>
    </row>
    <row r="15" spans="1:22">
      <c r="A15" s="447" t="s">
        <v>175</v>
      </c>
      <c r="B15" s="448"/>
      <c r="C15" s="48">
        <f>SUM(C14)</f>
        <v>0</v>
      </c>
      <c r="D15" s="48">
        <f t="shared" ref="D15:V15" si="4">SUM(D14)</f>
        <v>0</v>
      </c>
      <c r="E15" s="48">
        <f t="shared" si="4"/>
        <v>0</v>
      </c>
      <c r="F15" s="48">
        <f t="shared" si="4"/>
        <v>0</v>
      </c>
      <c r="G15" s="48">
        <f t="shared" si="4"/>
        <v>0</v>
      </c>
      <c r="H15" s="48">
        <f t="shared" si="4"/>
        <v>0</v>
      </c>
      <c r="I15" s="48">
        <f t="shared" si="4"/>
        <v>0</v>
      </c>
      <c r="J15" s="48">
        <f t="shared" si="4"/>
        <v>0</v>
      </c>
      <c r="K15" s="48">
        <f t="shared" si="4"/>
        <v>0</v>
      </c>
      <c r="L15" s="48">
        <f t="shared" si="4"/>
        <v>0</v>
      </c>
      <c r="M15" s="48">
        <f t="shared" si="4"/>
        <v>0</v>
      </c>
      <c r="N15" s="48">
        <f t="shared" si="4"/>
        <v>0</v>
      </c>
      <c r="O15" s="48">
        <f t="shared" si="4"/>
        <v>0</v>
      </c>
      <c r="P15" s="48">
        <f t="shared" si="4"/>
        <v>0</v>
      </c>
      <c r="Q15" s="48">
        <f t="shared" si="4"/>
        <v>0</v>
      </c>
      <c r="R15" s="48">
        <f t="shared" si="4"/>
        <v>0</v>
      </c>
      <c r="S15" s="48">
        <f t="shared" si="4"/>
        <v>0</v>
      </c>
      <c r="T15" s="48">
        <f t="shared" si="4"/>
        <v>0</v>
      </c>
      <c r="U15" s="48">
        <f t="shared" si="4"/>
        <v>0</v>
      </c>
      <c r="V15" s="48">
        <f t="shared" si="4"/>
        <v>0</v>
      </c>
    </row>
    <row r="16" spans="1:22">
      <c r="A16" s="445" t="s">
        <v>390</v>
      </c>
      <c r="B16" s="446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>
        <f>SUM(F16:U16)</f>
        <v>0</v>
      </c>
    </row>
    <row r="17" spans="1:22">
      <c r="A17" s="447" t="s">
        <v>175</v>
      </c>
      <c r="B17" s="448"/>
      <c r="C17" s="48">
        <f>SUM(C16)</f>
        <v>0</v>
      </c>
      <c r="D17" s="48">
        <f t="shared" ref="D17:V17" si="5">SUM(D16)</f>
        <v>0</v>
      </c>
      <c r="E17" s="48">
        <f t="shared" si="5"/>
        <v>0</v>
      </c>
      <c r="F17" s="48">
        <f t="shared" si="5"/>
        <v>0</v>
      </c>
      <c r="G17" s="48">
        <f t="shared" si="5"/>
        <v>0</v>
      </c>
      <c r="H17" s="48">
        <f t="shared" si="5"/>
        <v>0</v>
      </c>
      <c r="I17" s="48">
        <f t="shared" si="5"/>
        <v>0</v>
      </c>
      <c r="J17" s="48">
        <f t="shared" si="5"/>
        <v>0</v>
      </c>
      <c r="K17" s="48">
        <f t="shared" si="5"/>
        <v>0</v>
      </c>
      <c r="L17" s="48">
        <f t="shared" si="5"/>
        <v>0</v>
      </c>
      <c r="M17" s="48">
        <f t="shared" si="5"/>
        <v>0</v>
      </c>
      <c r="N17" s="48">
        <f t="shared" si="5"/>
        <v>0</v>
      </c>
      <c r="O17" s="48">
        <f t="shared" si="5"/>
        <v>0</v>
      </c>
      <c r="P17" s="48">
        <f t="shared" si="5"/>
        <v>0</v>
      </c>
      <c r="Q17" s="48">
        <f t="shared" si="5"/>
        <v>0</v>
      </c>
      <c r="R17" s="48">
        <f t="shared" si="5"/>
        <v>0</v>
      </c>
      <c r="S17" s="48">
        <f t="shared" si="5"/>
        <v>0</v>
      </c>
      <c r="T17" s="48">
        <f t="shared" si="5"/>
        <v>0</v>
      </c>
      <c r="U17" s="48">
        <f t="shared" si="5"/>
        <v>0</v>
      </c>
      <c r="V17" s="48">
        <f t="shared" si="5"/>
        <v>0</v>
      </c>
    </row>
    <row r="18" spans="1:22">
      <c r="A18" s="445" t="s">
        <v>391</v>
      </c>
      <c r="B18" s="446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2">
      <c r="A19" s="447" t="s">
        <v>175</v>
      </c>
      <c r="B19" s="448"/>
      <c r="C19" s="48">
        <f>SUM(C18)</f>
        <v>0</v>
      </c>
      <c r="D19" s="48">
        <f t="shared" ref="D19:V19" si="6">SUM(D18)</f>
        <v>0</v>
      </c>
      <c r="E19" s="48">
        <f t="shared" si="6"/>
        <v>0</v>
      </c>
      <c r="F19" s="48">
        <f t="shared" si="6"/>
        <v>0</v>
      </c>
      <c r="G19" s="48">
        <f t="shared" si="6"/>
        <v>0</v>
      </c>
      <c r="H19" s="48">
        <f t="shared" si="6"/>
        <v>0</v>
      </c>
      <c r="I19" s="48">
        <f t="shared" si="6"/>
        <v>0</v>
      </c>
      <c r="J19" s="48">
        <f t="shared" si="6"/>
        <v>0</v>
      </c>
      <c r="K19" s="48">
        <f t="shared" si="6"/>
        <v>0</v>
      </c>
      <c r="L19" s="48">
        <f t="shared" si="6"/>
        <v>0</v>
      </c>
      <c r="M19" s="48">
        <f t="shared" si="6"/>
        <v>0</v>
      </c>
      <c r="N19" s="48">
        <f t="shared" si="6"/>
        <v>0</v>
      </c>
      <c r="O19" s="48">
        <f t="shared" si="6"/>
        <v>0</v>
      </c>
      <c r="P19" s="48">
        <f t="shared" si="6"/>
        <v>0</v>
      </c>
      <c r="Q19" s="48">
        <f t="shared" si="6"/>
        <v>0</v>
      </c>
      <c r="R19" s="48">
        <f t="shared" si="6"/>
        <v>0</v>
      </c>
      <c r="S19" s="48">
        <f t="shared" si="6"/>
        <v>0</v>
      </c>
      <c r="T19" s="48">
        <f t="shared" si="6"/>
        <v>0</v>
      </c>
      <c r="U19" s="48">
        <f t="shared" si="6"/>
        <v>0</v>
      </c>
      <c r="V19" s="48">
        <f t="shared" si="6"/>
        <v>0</v>
      </c>
    </row>
    <row r="20" spans="1:22">
      <c r="A20" s="445" t="s">
        <v>392</v>
      </c>
      <c r="B20" s="446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>
      <c r="A21" s="447" t="s">
        <v>175</v>
      </c>
      <c r="B21" s="448"/>
      <c r="C21" s="48">
        <f>SUM(C20)</f>
        <v>0</v>
      </c>
      <c r="D21" s="48">
        <f t="shared" ref="D21:V21" si="7">SUM(D20)</f>
        <v>0</v>
      </c>
      <c r="E21" s="48">
        <f t="shared" si="7"/>
        <v>0</v>
      </c>
      <c r="F21" s="48">
        <f t="shared" si="7"/>
        <v>0</v>
      </c>
      <c r="G21" s="48">
        <f t="shared" si="7"/>
        <v>0</v>
      </c>
      <c r="H21" s="48">
        <f t="shared" si="7"/>
        <v>0</v>
      </c>
      <c r="I21" s="48">
        <f t="shared" si="7"/>
        <v>0</v>
      </c>
      <c r="J21" s="48">
        <f t="shared" si="7"/>
        <v>0</v>
      </c>
      <c r="K21" s="48">
        <f t="shared" si="7"/>
        <v>0</v>
      </c>
      <c r="L21" s="48">
        <f t="shared" si="7"/>
        <v>0</v>
      </c>
      <c r="M21" s="48">
        <f t="shared" si="7"/>
        <v>0</v>
      </c>
      <c r="N21" s="48">
        <f t="shared" si="7"/>
        <v>0</v>
      </c>
      <c r="O21" s="48">
        <f t="shared" si="7"/>
        <v>0</v>
      </c>
      <c r="P21" s="48">
        <f t="shared" si="7"/>
        <v>0</v>
      </c>
      <c r="Q21" s="48">
        <f t="shared" si="7"/>
        <v>0</v>
      </c>
      <c r="R21" s="48">
        <f t="shared" si="7"/>
        <v>0</v>
      </c>
      <c r="S21" s="48">
        <f t="shared" si="7"/>
        <v>0</v>
      </c>
      <c r="T21" s="48">
        <f t="shared" si="7"/>
        <v>0</v>
      </c>
      <c r="U21" s="48">
        <f t="shared" si="7"/>
        <v>0</v>
      </c>
      <c r="V21" s="48">
        <f t="shared" si="7"/>
        <v>0</v>
      </c>
    </row>
    <row r="22" spans="1:22">
      <c r="A22" s="445" t="s">
        <v>403</v>
      </c>
      <c r="B22" s="446"/>
      <c r="C22" s="49"/>
      <c r="D22" s="49"/>
      <c r="E22" s="49"/>
      <c r="F22" s="49"/>
      <c r="G22" s="49"/>
      <c r="H22" s="49"/>
      <c r="I22" s="49"/>
      <c r="J22" s="49"/>
      <c r="K22" s="49"/>
      <c r="L22" s="49">
        <f>110707</f>
        <v>110707</v>
      </c>
      <c r="M22" s="49"/>
      <c r="N22" s="49"/>
      <c r="O22" s="49"/>
      <c r="P22" s="49"/>
      <c r="Q22" s="49"/>
      <c r="R22" s="49"/>
      <c r="S22" s="49"/>
      <c r="T22" s="49"/>
      <c r="U22" s="49"/>
      <c r="V22" s="49">
        <f>SUM(C22:U22)</f>
        <v>110707</v>
      </c>
    </row>
    <row r="23" spans="1:22">
      <c r="A23" s="447" t="s">
        <v>175</v>
      </c>
      <c r="B23" s="448"/>
      <c r="C23" s="48">
        <f>SUM(C22)</f>
        <v>0</v>
      </c>
      <c r="D23" s="48">
        <f t="shared" ref="D23:V23" si="8">SUM(D22)</f>
        <v>0</v>
      </c>
      <c r="E23" s="48">
        <f t="shared" si="8"/>
        <v>0</v>
      </c>
      <c r="F23" s="48">
        <f t="shared" si="8"/>
        <v>0</v>
      </c>
      <c r="G23" s="48">
        <f t="shared" si="8"/>
        <v>0</v>
      </c>
      <c r="H23" s="48">
        <f t="shared" si="8"/>
        <v>0</v>
      </c>
      <c r="I23" s="48">
        <f t="shared" si="8"/>
        <v>0</v>
      </c>
      <c r="J23" s="48">
        <f t="shared" si="8"/>
        <v>0</v>
      </c>
      <c r="K23" s="48">
        <f t="shared" si="8"/>
        <v>0</v>
      </c>
      <c r="L23" s="48">
        <f t="shared" si="8"/>
        <v>110707</v>
      </c>
      <c r="M23" s="48">
        <f t="shared" si="8"/>
        <v>0</v>
      </c>
      <c r="N23" s="48">
        <f t="shared" si="8"/>
        <v>0</v>
      </c>
      <c r="O23" s="48">
        <f t="shared" si="8"/>
        <v>0</v>
      </c>
      <c r="P23" s="48">
        <f t="shared" si="8"/>
        <v>0</v>
      </c>
      <c r="Q23" s="48">
        <f t="shared" si="8"/>
        <v>0</v>
      </c>
      <c r="R23" s="48">
        <f t="shared" si="8"/>
        <v>0</v>
      </c>
      <c r="S23" s="48">
        <f t="shared" si="8"/>
        <v>0</v>
      </c>
      <c r="T23" s="48">
        <f t="shared" si="8"/>
        <v>0</v>
      </c>
      <c r="U23" s="48">
        <f t="shared" si="8"/>
        <v>0</v>
      </c>
      <c r="V23" s="48">
        <f t="shared" si="8"/>
        <v>110707</v>
      </c>
    </row>
    <row r="24" spans="1:22">
      <c r="A24" s="445" t="s">
        <v>397</v>
      </c>
      <c r="B24" s="446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</row>
    <row r="25" spans="1:22">
      <c r="A25" s="447" t="s">
        <v>175</v>
      </c>
      <c r="B25" s="448"/>
      <c r="C25" s="48">
        <f>SUM(C24)</f>
        <v>0</v>
      </c>
      <c r="D25" s="48">
        <f t="shared" ref="D25:V25" si="9">SUM(D24)</f>
        <v>0</v>
      </c>
      <c r="E25" s="48">
        <f t="shared" si="9"/>
        <v>0</v>
      </c>
      <c r="F25" s="48">
        <f t="shared" si="9"/>
        <v>0</v>
      </c>
      <c r="G25" s="48">
        <f t="shared" si="9"/>
        <v>0</v>
      </c>
      <c r="H25" s="48">
        <f t="shared" si="9"/>
        <v>0</v>
      </c>
      <c r="I25" s="48">
        <f t="shared" si="9"/>
        <v>0</v>
      </c>
      <c r="J25" s="48">
        <f t="shared" si="9"/>
        <v>0</v>
      </c>
      <c r="K25" s="48">
        <f t="shared" si="9"/>
        <v>0</v>
      </c>
      <c r="L25" s="48">
        <f t="shared" si="9"/>
        <v>0</v>
      </c>
      <c r="M25" s="48">
        <f t="shared" si="9"/>
        <v>0</v>
      </c>
      <c r="N25" s="48">
        <f t="shared" si="9"/>
        <v>0</v>
      </c>
      <c r="O25" s="48">
        <f t="shared" si="9"/>
        <v>0</v>
      </c>
      <c r="P25" s="48">
        <f t="shared" si="9"/>
        <v>0</v>
      </c>
      <c r="Q25" s="48">
        <f t="shared" si="9"/>
        <v>0</v>
      </c>
      <c r="R25" s="48">
        <f t="shared" si="9"/>
        <v>0</v>
      </c>
      <c r="S25" s="48">
        <f t="shared" si="9"/>
        <v>0</v>
      </c>
      <c r="T25" s="48">
        <f t="shared" si="9"/>
        <v>0</v>
      </c>
      <c r="U25" s="48">
        <f t="shared" si="9"/>
        <v>0</v>
      </c>
      <c r="V25" s="48">
        <f t="shared" si="9"/>
        <v>0</v>
      </c>
    </row>
    <row r="26" spans="1:22">
      <c r="A26" s="445" t="s">
        <v>396</v>
      </c>
      <c r="B26" s="446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</row>
    <row r="27" spans="1:22">
      <c r="A27" s="447" t="s">
        <v>175</v>
      </c>
      <c r="B27" s="448"/>
      <c r="C27" s="48">
        <f>SUM(C26)</f>
        <v>0</v>
      </c>
      <c r="D27" s="48">
        <f t="shared" ref="D27:V27" si="10">SUM(D26)</f>
        <v>0</v>
      </c>
      <c r="E27" s="48">
        <f t="shared" si="10"/>
        <v>0</v>
      </c>
      <c r="F27" s="48">
        <f t="shared" si="10"/>
        <v>0</v>
      </c>
      <c r="G27" s="48">
        <f t="shared" si="10"/>
        <v>0</v>
      </c>
      <c r="H27" s="48">
        <f t="shared" si="10"/>
        <v>0</v>
      </c>
      <c r="I27" s="48">
        <f t="shared" si="10"/>
        <v>0</v>
      </c>
      <c r="J27" s="48">
        <f t="shared" si="10"/>
        <v>0</v>
      </c>
      <c r="K27" s="48">
        <f t="shared" si="10"/>
        <v>0</v>
      </c>
      <c r="L27" s="48">
        <f t="shared" si="10"/>
        <v>0</v>
      </c>
      <c r="M27" s="48">
        <f t="shared" si="10"/>
        <v>0</v>
      </c>
      <c r="N27" s="48">
        <f t="shared" si="10"/>
        <v>0</v>
      </c>
      <c r="O27" s="48">
        <f t="shared" si="10"/>
        <v>0</v>
      </c>
      <c r="P27" s="48">
        <f t="shared" si="10"/>
        <v>0</v>
      </c>
      <c r="Q27" s="48">
        <f t="shared" si="10"/>
        <v>0</v>
      </c>
      <c r="R27" s="48">
        <f t="shared" si="10"/>
        <v>0</v>
      </c>
      <c r="S27" s="48">
        <f t="shared" si="10"/>
        <v>0</v>
      </c>
      <c r="T27" s="48">
        <f t="shared" si="10"/>
        <v>0</v>
      </c>
      <c r="U27" s="48">
        <f t="shared" si="10"/>
        <v>0</v>
      </c>
      <c r="V27" s="48">
        <f t="shared" si="10"/>
        <v>0</v>
      </c>
    </row>
    <row r="28" spans="1:22">
      <c r="A28" s="449" t="s">
        <v>174</v>
      </c>
      <c r="B28" s="450"/>
      <c r="C28" s="46">
        <f>SUM(C6,C8,C10,C12,C14,C16,C18,C20,C22,C24,C26)</f>
        <v>0</v>
      </c>
      <c r="D28" s="46">
        <f>SUM(D6,D8,D10,D12,D14,D16,D18,D20,D22,D24,D26)</f>
        <v>0</v>
      </c>
      <c r="E28" s="46">
        <f t="shared" ref="E28:K28" si="11">SUM(E6,E8,E10,E12,E14,E16,E18,E20,E22,E24,E26)</f>
        <v>0</v>
      </c>
      <c r="F28" s="46">
        <f t="shared" si="11"/>
        <v>0</v>
      </c>
      <c r="G28" s="46">
        <f t="shared" si="11"/>
        <v>0</v>
      </c>
      <c r="H28" s="46">
        <f t="shared" si="11"/>
        <v>0</v>
      </c>
      <c r="I28" s="46">
        <f t="shared" si="11"/>
        <v>0</v>
      </c>
      <c r="J28" s="46">
        <f t="shared" si="11"/>
        <v>0</v>
      </c>
      <c r="K28" s="46">
        <f t="shared" si="11"/>
        <v>0</v>
      </c>
      <c r="L28" s="46">
        <f>SUM(L6,L8,L10,L12,L14,L16,L18,L20,L22,L24,L26)</f>
        <v>110707</v>
      </c>
      <c r="M28" s="46">
        <f t="shared" ref="M28:U28" si="12">SUM(M6,M8,M10,M12,M14,M16,M18,M20,M22,M24,M26)</f>
        <v>0</v>
      </c>
      <c r="N28" s="46">
        <f t="shared" si="12"/>
        <v>0</v>
      </c>
      <c r="O28" s="46">
        <f t="shared" si="12"/>
        <v>0</v>
      </c>
      <c r="P28" s="46">
        <f t="shared" si="12"/>
        <v>0</v>
      </c>
      <c r="Q28" s="46">
        <f t="shared" si="12"/>
        <v>0</v>
      </c>
      <c r="R28" s="46">
        <f t="shared" si="12"/>
        <v>0</v>
      </c>
      <c r="S28" s="46">
        <f t="shared" si="12"/>
        <v>0</v>
      </c>
      <c r="T28" s="46">
        <f t="shared" si="12"/>
        <v>0</v>
      </c>
      <c r="U28" s="46">
        <f t="shared" si="12"/>
        <v>0</v>
      </c>
      <c r="V28" s="46">
        <f>SUM(V6,V8,V10,V12,V14,V16,V18,V20,V22,V24,V26)</f>
        <v>110707</v>
      </c>
    </row>
    <row r="29" spans="1:22">
      <c r="A29" s="449" t="s">
        <v>175</v>
      </c>
      <c r="B29" s="450"/>
      <c r="C29" s="46">
        <f>+C27+C25+C23+C21+C19+C17+C15+C13+C11+C9+C7</f>
        <v>0</v>
      </c>
      <c r="D29" s="46">
        <f t="shared" ref="D29:E29" si="13">+D27+D25+D23+D21+D19+D17+D15+D13+D11+D9+D7</f>
        <v>0</v>
      </c>
      <c r="E29" s="46">
        <f t="shared" si="13"/>
        <v>0</v>
      </c>
      <c r="F29" s="46">
        <f>+F27+F25+F23+F21+F19+F17+F15+F13+F11+F9+F7</f>
        <v>0</v>
      </c>
      <c r="G29" s="46">
        <f t="shared" ref="G29:K29" si="14">+G27+G25+G23+G21+G19+G17+G15+G13+G11+G9+G7</f>
        <v>0</v>
      </c>
      <c r="H29" s="46">
        <f t="shared" si="14"/>
        <v>0</v>
      </c>
      <c r="I29" s="46">
        <f t="shared" si="14"/>
        <v>0</v>
      </c>
      <c r="J29" s="46">
        <f t="shared" si="14"/>
        <v>0</v>
      </c>
      <c r="K29" s="46">
        <f t="shared" si="14"/>
        <v>0</v>
      </c>
      <c r="L29" s="46">
        <f>+L27+L25+L23+L21+L19+L17+L15+L13+L11+L9+L7</f>
        <v>110707</v>
      </c>
      <c r="M29" s="46">
        <f t="shared" ref="M29:U29" si="15">+M27+M25+M23+M21+M19+M17+M15+M13+M11+M9+M7</f>
        <v>0</v>
      </c>
      <c r="N29" s="46">
        <f t="shared" si="15"/>
        <v>0</v>
      </c>
      <c r="O29" s="46">
        <f t="shared" si="15"/>
        <v>0</v>
      </c>
      <c r="P29" s="46">
        <f t="shared" si="15"/>
        <v>0</v>
      </c>
      <c r="Q29" s="46">
        <f t="shared" si="15"/>
        <v>0</v>
      </c>
      <c r="R29" s="46">
        <f t="shared" si="15"/>
        <v>0</v>
      </c>
      <c r="S29" s="46">
        <f t="shared" si="15"/>
        <v>0</v>
      </c>
      <c r="T29" s="46">
        <f t="shared" si="15"/>
        <v>0</v>
      </c>
      <c r="U29" s="46">
        <f t="shared" si="15"/>
        <v>0</v>
      </c>
      <c r="V29" s="46">
        <f>+V27+V25+V23+V21+V19+V17+V15+V13+V11+V9+V7</f>
        <v>110707</v>
      </c>
    </row>
    <row r="30" spans="1:22">
      <c r="A30" s="451" t="s">
        <v>404</v>
      </c>
      <c r="B30" s="451"/>
      <c r="C30" s="451"/>
      <c r="D30" s="451"/>
      <c r="E30" s="451"/>
      <c r="F30" s="451"/>
      <c r="G30" s="451"/>
      <c r="H30" s="451"/>
      <c r="I30" s="451"/>
      <c r="J30" s="451"/>
      <c r="K30" s="451"/>
      <c r="L30" s="451"/>
      <c r="M30" s="451"/>
      <c r="N30" s="451"/>
      <c r="O30" s="451"/>
      <c r="P30" s="451"/>
      <c r="Q30" s="451"/>
      <c r="R30" s="451"/>
      <c r="S30" s="451"/>
      <c r="T30" s="451"/>
      <c r="U30" s="451"/>
      <c r="V30" s="451"/>
    </row>
    <row r="31" spans="1:22">
      <c r="A31" s="451" t="s">
        <v>402</v>
      </c>
      <c r="B31" s="451"/>
      <c r="C31" s="451"/>
      <c r="D31" s="451"/>
      <c r="E31" s="451"/>
      <c r="F31" s="451"/>
      <c r="G31" s="451"/>
      <c r="H31" s="451"/>
      <c r="I31" s="451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</row>
    <row r="32" spans="1:22">
      <c r="A32" s="452" t="s">
        <v>411</v>
      </c>
      <c r="B32" s="452"/>
      <c r="C32" s="452"/>
      <c r="D32" s="452"/>
      <c r="E32" s="452"/>
      <c r="F32" s="452"/>
      <c r="G32" s="452"/>
      <c r="H32" s="452"/>
      <c r="I32" s="452"/>
      <c r="J32" s="452"/>
      <c r="K32" s="452"/>
      <c r="L32" s="452"/>
      <c r="M32" s="452"/>
      <c r="N32" s="452"/>
      <c r="O32" s="452"/>
      <c r="P32" s="452"/>
      <c r="Q32" s="452"/>
      <c r="R32" s="452"/>
      <c r="S32" s="452"/>
      <c r="T32" s="452"/>
      <c r="U32" s="452"/>
      <c r="V32" s="452"/>
    </row>
    <row r="33" spans="1:22">
      <c r="A33" s="453" t="s">
        <v>139</v>
      </c>
      <c r="B33" s="453"/>
      <c r="C33" s="454" t="s">
        <v>141</v>
      </c>
      <c r="D33" s="454"/>
      <c r="E33" s="329" t="s">
        <v>144</v>
      </c>
      <c r="F33" s="454" t="s">
        <v>146</v>
      </c>
      <c r="G33" s="453"/>
      <c r="H33" s="454" t="s">
        <v>160</v>
      </c>
      <c r="I33" s="453"/>
      <c r="J33" s="329" t="s">
        <v>161</v>
      </c>
      <c r="K33" s="455" t="s">
        <v>162</v>
      </c>
      <c r="L33" s="456"/>
      <c r="M33" s="457"/>
      <c r="N33" s="329" t="s">
        <v>163</v>
      </c>
      <c r="O33" s="455" t="s">
        <v>164</v>
      </c>
      <c r="P33" s="456"/>
      <c r="Q33" s="457"/>
      <c r="R33" s="454" t="s">
        <v>165</v>
      </c>
      <c r="S33" s="453"/>
      <c r="T33" s="329" t="s">
        <v>212</v>
      </c>
      <c r="U33" s="329" t="s">
        <v>166</v>
      </c>
      <c r="V33" s="458" t="s">
        <v>17</v>
      </c>
    </row>
    <row r="34" spans="1:22">
      <c r="A34" s="453" t="s">
        <v>140</v>
      </c>
      <c r="B34" s="453"/>
      <c r="C34" s="329" t="s">
        <v>142</v>
      </c>
      <c r="D34" s="329" t="s">
        <v>143</v>
      </c>
      <c r="E34" s="329" t="s">
        <v>145</v>
      </c>
      <c r="F34" s="329" t="s">
        <v>147</v>
      </c>
      <c r="G34" s="329" t="s">
        <v>148</v>
      </c>
      <c r="H34" s="329" t="s">
        <v>149</v>
      </c>
      <c r="I34" s="329" t="s">
        <v>150</v>
      </c>
      <c r="J34" s="329" t="s">
        <v>151</v>
      </c>
      <c r="K34" s="329" t="s">
        <v>152</v>
      </c>
      <c r="L34" s="329" t="s">
        <v>153</v>
      </c>
      <c r="M34" s="329" t="s">
        <v>238</v>
      </c>
      <c r="N34" s="329" t="s">
        <v>154</v>
      </c>
      <c r="O34" s="329" t="s">
        <v>155</v>
      </c>
      <c r="P34" s="329" t="s">
        <v>156</v>
      </c>
      <c r="Q34" s="329" t="s">
        <v>216</v>
      </c>
      <c r="R34" s="329" t="s">
        <v>157</v>
      </c>
      <c r="S34" s="329" t="s">
        <v>158</v>
      </c>
      <c r="T34" s="329" t="s">
        <v>213</v>
      </c>
      <c r="U34" s="329" t="s">
        <v>159</v>
      </c>
      <c r="V34" s="458"/>
    </row>
    <row r="35" spans="1:22">
      <c r="A35" s="445" t="s">
        <v>385</v>
      </c>
      <c r="B35" s="446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50"/>
      <c r="V35" s="50">
        <f>SUM(C35:U35)</f>
        <v>0</v>
      </c>
    </row>
    <row r="36" spans="1:22">
      <c r="A36" s="447" t="s">
        <v>175</v>
      </c>
      <c r="B36" s="448"/>
      <c r="C36" s="48">
        <f>SUM(C35)</f>
        <v>0</v>
      </c>
      <c r="D36" s="48">
        <f t="shared" ref="D36:U36" si="16">SUM(D35)</f>
        <v>0</v>
      </c>
      <c r="E36" s="48">
        <f t="shared" si="16"/>
        <v>0</v>
      </c>
      <c r="F36" s="48">
        <f t="shared" si="16"/>
        <v>0</v>
      </c>
      <c r="G36" s="48">
        <f t="shared" si="16"/>
        <v>0</v>
      </c>
      <c r="H36" s="48">
        <f t="shared" si="16"/>
        <v>0</v>
      </c>
      <c r="I36" s="48">
        <f t="shared" si="16"/>
        <v>0</v>
      </c>
      <c r="J36" s="48">
        <f t="shared" si="16"/>
        <v>0</v>
      </c>
      <c r="K36" s="48">
        <f t="shared" si="16"/>
        <v>0</v>
      </c>
      <c r="L36" s="48">
        <f t="shared" si="16"/>
        <v>0</v>
      </c>
      <c r="M36" s="48">
        <f t="shared" si="16"/>
        <v>0</v>
      </c>
      <c r="N36" s="48">
        <f t="shared" si="16"/>
        <v>0</v>
      </c>
      <c r="O36" s="48">
        <f t="shared" si="16"/>
        <v>0</v>
      </c>
      <c r="P36" s="48">
        <f t="shared" si="16"/>
        <v>0</v>
      </c>
      <c r="Q36" s="48">
        <f t="shared" si="16"/>
        <v>0</v>
      </c>
      <c r="R36" s="48">
        <f t="shared" si="16"/>
        <v>0</v>
      </c>
      <c r="S36" s="48">
        <f t="shared" si="16"/>
        <v>0</v>
      </c>
      <c r="T36" s="48">
        <f t="shared" si="16"/>
        <v>0</v>
      </c>
      <c r="U36" s="48">
        <f t="shared" si="16"/>
        <v>0</v>
      </c>
      <c r="V36" s="48">
        <f>SUM(V35)</f>
        <v>0</v>
      </c>
    </row>
    <row r="37" spans="1:22">
      <c r="A37" s="445" t="s">
        <v>386</v>
      </c>
      <c r="B37" s="446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50">
        <f>SUM(C37:U37)</f>
        <v>0</v>
      </c>
    </row>
    <row r="38" spans="1:22">
      <c r="A38" s="447" t="s">
        <v>175</v>
      </c>
      <c r="B38" s="448"/>
      <c r="C38" s="48">
        <f>SUM(C37)</f>
        <v>0</v>
      </c>
      <c r="D38" s="48">
        <f t="shared" ref="D38:U38" si="17">SUM(D37)</f>
        <v>0</v>
      </c>
      <c r="E38" s="48">
        <f t="shared" si="17"/>
        <v>0</v>
      </c>
      <c r="F38" s="48">
        <f t="shared" si="17"/>
        <v>0</v>
      </c>
      <c r="G38" s="48">
        <f t="shared" si="17"/>
        <v>0</v>
      </c>
      <c r="H38" s="48">
        <f t="shared" si="17"/>
        <v>0</v>
      </c>
      <c r="I38" s="48">
        <f t="shared" si="17"/>
        <v>0</v>
      </c>
      <c r="J38" s="48">
        <f t="shared" si="17"/>
        <v>0</v>
      </c>
      <c r="K38" s="48">
        <f t="shared" si="17"/>
        <v>0</v>
      </c>
      <c r="L38" s="48">
        <f t="shared" si="17"/>
        <v>0</v>
      </c>
      <c r="M38" s="48">
        <f t="shared" si="17"/>
        <v>0</v>
      </c>
      <c r="N38" s="48">
        <f t="shared" si="17"/>
        <v>0</v>
      </c>
      <c r="O38" s="48">
        <f t="shared" si="17"/>
        <v>0</v>
      </c>
      <c r="P38" s="48">
        <f t="shared" si="17"/>
        <v>0</v>
      </c>
      <c r="Q38" s="48">
        <f t="shared" si="17"/>
        <v>0</v>
      </c>
      <c r="R38" s="48">
        <f t="shared" si="17"/>
        <v>0</v>
      </c>
      <c r="S38" s="48">
        <f t="shared" si="17"/>
        <v>0</v>
      </c>
      <c r="T38" s="48">
        <f t="shared" si="17"/>
        <v>0</v>
      </c>
      <c r="U38" s="48">
        <f t="shared" si="17"/>
        <v>0</v>
      </c>
      <c r="V38" s="48">
        <f>SUM(V37)</f>
        <v>0</v>
      </c>
    </row>
    <row r="39" spans="1:22">
      <c r="A39" s="445" t="s">
        <v>387</v>
      </c>
      <c r="B39" s="446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</row>
    <row r="40" spans="1:22">
      <c r="A40" s="447" t="s">
        <v>175</v>
      </c>
      <c r="B40" s="448"/>
      <c r="C40" s="48">
        <f>SUM(C39)</f>
        <v>0</v>
      </c>
      <c r="D40" s="48">
        <f t="shared" ref="D40:U40" si="18">SUM(D39)</f>
        <v>0</v>
      </c>
      <c r="E40" s="48">
        <f t="shared" si="18"/>
        <v>0</v>
      </c>
      <c r="F40" s="48">
        <f t="shared" si="18"/>
        <v>0</v>
      </c>
      <c r="G40" s="48">
        <f t="shared" si="18"/>
        <v>0</v>
      </c>
      <c r="H40" s="48">
        <f t="shared" si="18"/>
        <v>0</v>
      </c>
      <c r="I40" s="48">
        <f t="shared" si="18"/>
        <v>0</v>
      </c>
      <c r="J40" s="48">
        <f t="shared" si="18"/>
        <v>0</v>
      </c>
      <c r="K40" s="48">
        <f t="shared" si="18"/>
        <v>0</v>
      </c>
      <c r="L40" s="48">
        <f t="shared" si="18"/>
        <v>0</v>
      </c>
      <c r="M40" s="48">
        <f t="shared" si="18"/>
        <v>0</v>
      </c>
      <c r="N40" s="48">
        <f t="shared" si="18"/>
        <v>0</v>
      </c>
      <c r="O40" s="48">
        <f t="shared" si="18"/>
        <v>0</v>
      </c>
      <c r="P40" s="48">
        <f t="shared" si="18"/>
        <v>0</v>
      </c>
      <c r="Q40" s="48">
        <f t="shared" si="18"/>
        <v>0</v>
      </c>
      <c r="R40" s="48">
        <f t="shared" si="18"/>
        <v>0</v>
      </c>
      <c r="S40" s="48">
        <f t="shared" si="18"/>
        <v>0</v>
      </c>
      <c r="T40" s="48">
        <f t="shared" si="18"/>
        <v>0</v>
      </c>
      <c r="U40" s="48">
        <f t="shared" si="18"/>
        <v>0</v>
      </c>
      <c r="V40" s="48">
        <f>SUM(V39)</f>
        <v>0</v>
      </c>
    </row>
    <row r="41" spans="1:22">
      <c r="A41" s="445" t="s">
        <v>388</v>
      </c>
      <c r="B41" s="446"/>
      <c r="C41" s="49"/>
      <c r="D41" s="49"/>
      <c r="E41" s="49"/>
      <c r="F41" s="49">
        <v>0</v>
      </c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</row>
    <row r="42" spans="1:22">
      <c r="A42" s="447" t="s">
        <v>175</v>
      </c>
      <c r="B42" s="448"/>
      <c r="C42" s="48">
        <f>+C41</f>
        <v>0</v>
      </c>
      <c r="D42" s="48">
        <f t="shared" ref="D42:V42" si="19">+D41</f>
        <v>0</v>
      </c>
      <c r="E42" s="48">
        <f t="shared" si="19"/>
        <v>0</v>
      </c>
      <c r="F42" s="48">
        <f t="shared" si="19"/>
        <v>0</v>
      </c>
      <c r="G42" s="48">
        <f t="shared" si="19"/>
        <v>0</v>
      </c>
      <c r="H42" s="48">
        <f t="shared" si="19"/>
        <v>0</v>
      </c>
      <c r="I42" s="48">
        <f t="shared" si="19"/>
        <v>0</v>
      </c>
      <c r="J42" s="48">
        <f t="shared" si="19"/>
        <v>0</v>
      </c>
      <c r="K42" s="48">
        <f t="shared" si="19"/>
        <v>0</v>
      </c>
      <c r="L42" s="48">
        <f t="shared" si="19"/>
        <v>0</v>
      </c>
      <c r="M42" s="48">
        <f t="shared" si="19"/>
        <v>0</v>
      </c>
      <c r="N42" s="48">
        <f t="shared" si="19"/>
        <v>0</v>
      </c>
      <c r="O42" s="48">
        <f t="shared" si="19"/>
        <v>0</v>
      </c>
      <c r="P42" s="48">
        <f t="shared" si="19"/>
        <v>0</v>
      </c>
      <c r="Q42" s="48">
        <f t="shared" si="19"/>
        <v>0</v>
      </c>
      <c r="R42" s="48">
        <f t="shared" si="19"/>
        <v>0</v>
      </c>
      <c r="S42" s="48">
        <f t="shared" si="19"/>
        <v>0</v>
      </c>
      <c r="T42" s="48">
        <f t="shared" si="19"/>
        <v>0</v>
      </c>
      <c r="U42" s="48">
        <f t="shared" si="19"/>
        <v>0</v>
      </c>
      <c r="V42" s="48">
        <f t="shared" si="19"/>
        <v>0</v>
      </c>
    </row>
    <row r="43" spans="1:22">
      <c r="A43" s="445" t="s">
        <v>389</v>
      </c>
      <c r="B43" s="446"/>
      <c r="C43" s="49">
        <v>0</v>
      </c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>
        <f>SUM(F43:U43)</f>
        <v>0</v>
      </c>
    </row>
    <row r="44" spans="1:22">
      <c r="A44" s="447" t="s">
        <v>175</v>
      </c>
      <c r="B44" s="448"/>
      <c r="C44" s="48">
        <f>SUM(C43)</f>
        <v>0</v>
      </c>
      <c r="D44" s="48">
        <f t="shared" ref="D44:V44" si="20">SUM(D43)</f>
        <v>0</v>
      </c>
      <c r="E44" s="48">
        <f t="shared" si="20"/>
        <v>0</v>
      </c>
      <c r="F44" s="48">
        <f t="shared" si="20"/>
        <v>0</v>
      </c>
      <c r="G44" s="48">
        <f t="shared" si="20"/>
        <v>0</v>
      </c>
      <c r="H44" s="48">
        <f t="shared" si="20"/>
        <v>0</v>
      </c>
      <c r="I44" s="48">
        <f t="shared" si="20"/>
        <v>0</v>
      </c>
      <c r="J44" s="48">
        <f t="shared" si="20"/>
        <v>0</v>
      </c>
      <c r="K44" s="48">
        <f t="shared" si="20"/>
        <v>0</v>
      </c>
      <c r="L44" s="48">
        <f t="shared" si="20"/>
        <v>0</v>
      </c>
      <c r="M44" s="48">
        <f t="shared" si="20"/>
        <v>0</v>
      </c>
      <c r="N44" s="48">
        <f t="shared" si="20"/>
        <v>0</v>
      </c>
      <c r="O44" s="48">
        <f t="shared" si="20"/>
        <v>0</v>
      </c>
      <c r="P44" s="48">
        <f t="shared" si="20"/>
        <v>0</v>
      </c>
      <c r="Q44" s="48">
        <f t="shared" si="20"/>
        <v>0</v>
      </c>
      <c r="R44" s="48">
        <f t="shared" si="20"/>
        <v>0</v>
      </c>
      <c r="S44" s="48">
        <f t="shared" si="20"/>
        <v>0</v>
      </c>
      <c r="T44" s="48">
        <f t="shared" si="20"/>
        <v>0</v>
      </c>
      <c r="U44" s="48">
        <f t="shared" si="20"/>
        <v>0</v>
      </c>
      <c r="V44" s="48">
        <f t="shared" si="20"/>
        <v>0</v>
      </c>
    </row>
    <row r="45" spans="1:22">
      <c r="A45" s="445" t="s">
        <v>390</v>
      </c>
      <c r="B45" s="446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>
        <f>SUM(F45:U45)</f>
        <v>0</v>
      </c>
    </row>
    <row r="46" spans="1:22">
      <c r="A46" s="447" t="s">
        <v>175</v>
      </c>
      <c r="B46" s="448"/>
      <c r="C46" s="48">
        <f>SUM(C45)</f>
        <v>0</v>
      </c>
      <c r="D46" s="48">
        <f t="shared" ref="D46:V46" si="21">SUM(D45)</f>
        <v>0</v>
      </c>
      <c r="E46" s="48">
        <f t="shared" si="21"/>
        <v>0</v>
      </c>
      <c r="F46" s="48">
        <f t="shared" si="21"/>
        <v>0</v>
      </c>
      <c r="G46" s="48">
        <f t="shared" si="21"/>
        <v>0</v>
      </c>
      <c r="H46" s="48">
        <f t="shared" si="21"/>
        <v>0</v>
      </c>
      <c r="I46" s="48">
        <f t="shared" si="21"/>
        <v>0</v>
      </c>
      <c r="J46" s="48">
        <f t="shared" si="21"/>
        <v>0</v>
      </c>
      <c r="K46" s="48">
        <f t="shared" si="21"/>
        <v>0</v>
      </c>
      <c r="L46" s="48">
        <f t="shared" si="21"/>
        <v>0</v>
      </c>
      <c r="M46" s="48">
        <f t="shared" si="21"/>
        <v>0</v>
      </c>
      <c r="N46" s="48">
        <f t="shared" si="21"/>
        <v>0</v>
      </c>
      <c r="O46" s="48">
        <f t="shared" si="21"/>
        <v>0</v>
      </c>
      <c r="P46" s="48">
        <f t="shared" si="21"/>
        <v>0</v>
      </c>
      <c r="Q46" s="48">
        <f t="shared" si="21"/>
        <v>0</v>
      </c>
      <c r="R46" s="48">
        <f t="shared" si="21"/>
        <v>0</v>
      </c>
      <c r="S46" s="48">
        <f t="shared" si="21"/>
        <v>0</v>
      </c>
      <c r="T46" s="48">
        <f t="shared" si="21"/>
        <v>0</v>
      </c>
      <c r="U46" s="48">
        <f t="shared" si="21"/>
        <v>0</v>
      </c>
      <c r="V46" s="48">
        <f t="shared" si="21"/>
        <v>0</v>
      </c>
    </row>
    <row r="47" spans="1:22">
      <c r="A47" s="445" t="s">
        <v>391</v>
      </c>
      <c r="B47" s="446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</row>
    <row r="48" spans="1:22">
      <c r="A48" s="447" t="s">
        <v>175</v>
      </c>
      <c r="B48" s="448"/>
      <c r="C48" s="48">
        <f>SUM(C47)</f>
        <v>0</v>
      </c>
      <c r="D48" s="48">
        <f t="shared" ref="D48:V48" si="22">SUM(D47)</f>
        <v>0</v>
      </c>
      <c r="E48" s="48">
        <f t="shared" si="22"/>
        <v>0</v>
      </c>
      <c r="F48" s="48">
        <f t="shared" si="22"/>
        <v>0</v>
      </c>
      <c r="G48" s="48">
        <f t="shared" si="22"/>
        <v>0</v>
      </c>
      <c r="H48" s="48">
        <f t="shared" si="22"/>
        <v>0</v>
      </c>
      <c r="I48" s="48">
        <f t="shared" si="22"/>
        <v>0</v>
      </c>
      <c r="J48" s="48">
        <f t="shared" si="22"/>
        <v>0</v>
      </c>
      <c r="K48" s="48">
        <f t="shared" si="22"/>
        <v>0</v>
      </c>
      <c r="L48" s="48">
        <f t="shared" si="22"/>
        <v>0</v>
      </c>
      <c r="M48" s="48">
        <f t="shared" si="22"/>
        <v>0</v>
      </c>
      <c r="N48" s="48">
        <f t="shared" si="22"/>
        <v>0</v>
      </c>
      <c r="O48" s="48">
        <f t="shared" si="22"/>
        <v>0</v>
      </c>
      <c r="P48" s="48">
        <f t="shared" si="22"/>
        <v>0</v>
      </c>
      <c r="Q48" s="48">
        <f t="shared" si="22"/>
        <v>0</v>
      </c>
      <c r="R48" s="48">
        <f t="shared" si="22"/>
        <v>0</v>
      </c>
      <c r="S48" s="48">
        <f t="shared" si="22"/>
        <v>0</v>
      </c>
      <c r="T48" s="48">
        <f t="shared" si="22"/>
        <v>0</v>
      </c>
      <c r="U48" s="48">
        <f t="shared" si="22"/>
        <v>0</v>
      </c>
      <c r="V48" s="48">
        <f t="shared" si="22"/>
        <v>0</v>
      </c>
    </row>
    <row r="49" spans="1:23">
      <c r="A49" s="445" t="s">
        <v>392</v>
      </c>
      <c r="B49" s="446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</row>
    <row r="50" spans="1:23">
      <c r="A50" s="447" t="s">
        <v>175</v>
      </c>
      <c r="B50" s="448"/>
      <c r="C50" s="48">
        <f>SUM(C49)</f>
        <v>0</v>
      </c>
      <c r="D50" s="48">
        <f t="shared" ref="D50:V50" si="23">SUM(D49)</f>
        <v>0</v>
      </c>
      <c r="E50" s="48">
        <f t="shared" si="23"/>
        <v>0</v>
      </c>
      <c r="F50" s="48">
        <f t="shared" si="23"/>
        <v>0</v>
      </c>
      <c r="G50" s="48">
        <f t="shared" si="23"/>
        <v>0</v>
      </c>
      <c r="H50" s="48">
        <f t="shared" si="23"/>
        <v>0</v>
      </c>
      <c r="I50" s="48">
        <f t="shared" si="23"/>
        <v>0</v>
      </c>
      <c r="J50" s="48">
        <f t="shared" si="23"/>
        <v>0</v>
      </c>
      <c r="K50" s="48">
        <f t="shared" si="23"/>
        <v>0</v>
      </c>
      <c r="L50" s="48">
        <f t="shared" si="23"/>
        <v>0</v>
      </c>
      <c r="M50" s="48">
        <f t="shared" si="23"/>
        <v>0</v>
      </c>
      <c r="N50" s="48">
        <f t="shared" si="23"/>
        <v>0</v>
      </c>
      <c r="O50" s="48">
        <f t="shared" si="23"/>
        <v>0</v>
      </c>
      <c r="P50" s="48">
        <f t="shared" si="23"/>
        <v>0</v>
      </c>
      <c r="Q50" s="48">
        <f t="shared" si="23"/>
        <v>0</v>
      </c>
      <c r="R50" s="48">
        <f t="shared" si="23"/>
        <v>0</v>
      </c>
      <c r="S50" s="48">
        <f t="shared" si="23"/>
        <v>0</v>
      </c>
      <c r="T50" s="48">
        <f t="shared" si="23"/>
        <v>0</v>
      </c>
      <c r="U50" s="48">
        <f t="shared" si="23"/>
        <v>0</v>
      </c>
      <c r="V50" s="48">
        <f t="shared" si="23"/>
        <v>0</v>
      </c>
    </row>
    <row r="51" spans="1:23">
      <c r="A51" s="445" t="s">
        <v>403</v>
      </c>
      <c r="B51" s="446"/>
      <c r="C51" s="49"/>
      <c r="D51" s="49"/>
      <c r="E51" s="49"/>
      <c r="F51" s="49"/>
      <c r="G51" s="49"/>
      <c r="H51" s="49"/>
      <c r="I51" s="49"/>
      <c r="J51" s="49"/>
      <c r="K51" s="49"/>
      <c r="L51" s="49">
        <f>110707+110707+48000</f>
        <v>269414</v>
      </c>
      <c r="M51" s="49"/>
      <c r="N51" s="49"/>
      <c r="O51" s="49"/>
      <c r="P51" s="49"/>
      <c r="Q51" s="49"/>
      <c r="R51" s="49"/>
      <c r="S51" s="49"/>
      <c r="T51" s="49"/>
      <c r="U51" s="49"/>
      <c r="V51" s="49">
        <f>SUM(C51:U51)</f>
        <v>269414</v>
      </c>
    </row>
    <row r="52" spans="1:23">
      <c r="A52" s="447" t="s">
        <v>175</v>
      </c>
      <c r="B52" s="448"/>
      <c r="C52" s="48">
        <f>SUM(C51+C23)</f>
        <v>0</v>
      </c>
      <c r="D52" s="48">
        <f t="shared" ref="D52:V52" si="24">SUM(D51+D23)</f>
        <v>0</v>
      </c>
      <c r="E52" s="48">
        <f t="shared" si="24"/>
        <v>0</v>
      </c>
      <c r="F52" s="48">
        <f t="shared" si="24"/>
        <v>0</v>
      </c>
      <c r="G52" s="48">
        <f t="shared" si="24"/>
        <v>0</v>
      </c>
      <c r="H52" s="48">
        <f t="shared" si="24"/>
        <v>0</v>
      </c>
      <c r="I52" s="48">
        <f t="shared" si="24"/>
        <v>0</v>
      </c>
      <c r="J52" s="48">
        <f t="shared" si="24"/>
        <v>0</v>
      </c>
      <c r="K52" s="48">
        <f t="shared" si="24"/>
        <v>0</v>
      </c>
      <c r="L52" s="48">
        <f>SUM(L51+L23)</f>
        <v>380121</v>
      </c>
      <c r="M52" s="48">
        <f t="shared" si="24"/>
        <v>0</v>
      </c>
      <c r="N52" s="48">
        <f t="shared" si="24"/>
        <v>0</v>
      </c>
      <c r="O52" s="48">
        <f t="shared" si="24"/>
        <v>0</v>
      </c>
      <c r="P52" s="48">
        <f t="shared" si="24"/>
        <v>0</v>
      </c>
      <c r="Q52" s="48">
        <f t="shared" si="24"/>
        <v>0</v>
      </c>
      <c r="R52" s="48">
        <f t="shared" si="24"/>
        <v>0</v>
      </c>
      <c r="S52" s="48">
        <f t="shared" si="24"/>
        <v>0</v>
      </c>
      <c r="T52" s="48">
        <f t="shared" si="24"/>
        <v>0</v>
      </c>
      <c r="U52" s="48">
        <f t="shared" si="24"/>
        <v>0</v>
      </c>
      <c r="V52" s="48">
        <f t="shared" si="24"/>
        <v>380121</v>
      </c>
    </row>
    <row r="53" spans="1:23">
      <c r="A53" s="445" t="s">
        <v>397</v>
      </c>
      <c r="B53" s="446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</row>
    <row r="54" spans="1:23">
      <c r="A54" s="447" t="s">
        <v>175</v>
      </c>
      <c r="B54" s="448"/>
      <c r="C54" s="48">
        <f>SUM(C53)</f>
        <v>0</v>
      </c>
      <c r="D54" s="48">
        <f t="shared" ref="D54:V54" si="25">SUM(D53)</f>
        <v>0</v>
      </c>
      <c r="E54" s="48">
        <f t="shared" si="25"/>
        <v>0</v>
      </c>
      <c r="F54" s="48">
        <f t="shared" si="25"/>
        <v>0</v>
      </c>
      <c r="G54" s="48">
        <f t="shared" si="25"/>
        <v>0</v>
      </c>
      <c r="H54" s="48">
        <f t="shared" si="25"/>
        <v>0</v>
      </c>
      <c r="I54" s="48">
        <f t="shared" si="25"/>
        <v>0</v>
      </c>
      <c r="J54" s="48">
        <f t="shared" si="25"/>
        <v>0</v>
      </c>
      <c r="K54" s="48">
        <f t="shared" si="25"/>
        <v>0</v>
      </c>
      <c r="L54" s="48">
        <f t="shared" si="25"/>
        <v>0</v>
      </c>
      <c r="M54" s="48">
        <f t="shared" si="25"/>
        <v>0</v>
      </c>
      <c r="N54" s="48">
        <f t="shared" si="25"/>
        <v>0</v>
      </c>
      <c r="O54" s="48">
        <f t="shared" si="25"/>
        <v>0</v>
      </c>
      <c r="P54" s="48">
        <f t="shared" si="25"/>
        <v>0</v>
      </c>
      <c r="Q54" s="48">
        <f t="shared" si="25"/>
        <v>0</v>
      </c>
      <c r="R54" s="48">
        <f t="shared" si="25"/>
        <v>0</v>
      </c>
      <c r="S54" s="48">
        <f t="shared" si="25"/>
        <v>0</v>
      </c>
      <c r="T54" s="48">
        <f t="shared" si="25"/>
        <v>0</v>
      </c>
      <c r="U54" s="48">
        <f t="shared" si="25"/>
        <v>0</v>
      </c>
      <c r="V54" s="48">
        <f t="shared" si="25"/>
        <v>0</v>
      </c>
    </row>
    <row r="55" spans="1:23">
      <c r="A55" s="445" t="s">
        <v>396</v>
      </c>
      <c r="B55" s="446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</row>
    <row r="56" spans="1:23">
      <c r="A56" s="447" t="s">
        <v>175</v>
      </c>
      <c r="B56" s="448"/>
      <c r="C56" s="48">
        <f>SUM(C55)</f>
        <v>0</v>
      </c>
      <c r="D56" s="48">
        <f t="shared" ref="D56:V56" si="26">SUM(D55)</f>
        <v>0</v>
      </c>
      <c r="E56" s="48">
        <f t="shared" si="26"/>
        <v>0</v>
      </c>
      <c r="F56" s="48">
        <f t="shared" si="26"/>
        <v>0</v>
      </c>
      <c r="G56" s="48">
        <f t="shared" si="26"/>
        <v>0</v>
      </c>
      <c r="H56" s="48">
        <f t="shared" si="26"/>
        <v>0</v>
      </c>
      <c r="I56" s="48">
        <f t="shared" si="26"/>
        <v>0</v>
      </c>
      <c r="J56" s="48">
        <f t="shared" si="26"/>
        <v>0</v>
      </c>
      <c r="K56" s="48">
        <f t="shared" si="26"/>
        <v>0</v>
      </c>
      <c r="L56" s="48">
        <f t="shared" si="26"/>
        <v>0</v>
      </c>
      <c r="M56" s="48">
        <f t="shared" si="26"/>
        <v>0</v>
      </c>
      <c r="N56" s="48">
        <f t="shared" si="26"/>
        <v>0</v>
      </c>
      <c r="O56" s="48">
        <f t="shared" si="26"/>
        <v>0</v>
      </c>
      <c r="P56" s="48">
        <f t="shared" si="26"/>
        <v>0</v>
      </c>
      <c r="Q56" s="48">
        <f t="shared" si="26"/>
        <v>0</v>
      </c>
      <c r="R56" s="48">
        <f t="shared" si="26"/>
        <v>0</v>
      </c>
      <c r="S56" s="48">
        <f t="shared" si="26"/>
        <v>0</v>
      </c>
      <c r="T56" s="48">
        <f t="shared" si="26"/>
        <v>0</v>
      </c>
      <c r="U56" s="48">
        <f t="shared" si="26"/>
        <v>0</v>
      </c>
      <c r="V56" s="48">
        <f t="shared" si="26"/>
        <v>0</v>
      </c>
    </row>
    <row r="57" spans="1:23">
      <c r="A57" s="449" t="s">
        <v>174</v>
      </c>
      <c r="B57" s="450"/>
      <c r="C57" s="46">
        <f>SUM(C35,C37,C39,C41,C43,C45,C47,C49,C51,C53,C55)</f>
        <v>0</v>
      </c>
      <c r="D57" s="46">
        <f>SUM(D35,D37,D39,D41,D43,D45,D47,D49,D51,D53,D55)</f>
        <v>0</v>
      </c>
      <c r="E57" s="46">
        <f t="shared" ref="E57:K57" si="27">SUM(E35,E37,E39,E41,E43,E45,E47,E49,E51,E53,E55)</f>
        <v>0</v>
      </c>
      <c r="F57" s="46">
        <f t="shared" si="27"/>
        <v>0</v>
      </c>
      <c r="G57" s="46">
        <f t="shared" si="27"/>
        <v>0</v>
      </c>
      <c r="H57" s="46">
        <f t="shared" si="27"/>
        <v>0</v>
      </c>
      <c r="I57" s="46">
        <f t="shared" si="27"/>
        <v>0</v>
      </c>
      <c r="J57" s="46">
        <f t="shared" si="27"/>
        <v>0</v>
      </c>
      <c r="K57" s="46">
        <f t="shared" si="27"/>
        <v>0</v>
      </c>
      <c r="L57" s="46">
        <f>SUM(L35,L37,L39,L41,L43,L45,L47,L49,L51,L53,L55)</f>
        <v>269414</v>
      </c>
      <c r="M57" s="46">
        <f t="shared" ref="M57:U57" si="28">SUM(M35,M37,M39,M41,M43,M45,M47,M49,M51,M53,M55)</f>
        <v>0</v>
      </c>
      <c r="N57" s="46">
        <f t="shared" si="28"/>
        <v>0</v>
      </c>
      <c r="O57" s="46">
        <f t="shared" si="28"/>
        <v>0</v>
      </c>
      <c r="P57" s="46">
        <f t="shared" si="28"/>
        <v>0</v>
      </c>
      <c r="Q57" s="46">
        <f t="shared" si="28"/>
        <v>0</v>
      </c>
      <c r="R57" s="46">
        <f t="shared" si="28"/>
        <v>0</v>
      </c>
      <c r="S57" s="46">
        <f t="shared" si="28"/>
        <v>0</v>
      </c>
      <c r="T57" s="46">
        <f t="shared" si="28"/>
        <v>0</v>
      </c>
      <c r="U57" s="46">
        <f t="shared" si="28"/>
        <v>0</v>
      </c>
      <c r="V57" s="46">
        <f>SUM(V35,V37,V39,V41,V43,V45,V47,V49,V51,V53,V55)</f>
        <v>269414</v>
      </c>
    </row>
    <row r="58" spans="1:23">
      <c r="A58" s="449" t="s">
        <v>175</v>
      </c>
      <c r="B58" s="450"/>
      <c r="C58" s="46">
        <f>+C56+C54+C52+C50+C48+C46+C44+C42+C40+C38+C36</f>
        <v>0</v>
      </c>
      <c r="D58" s="46">
        <f t="shared" ref="D58:E58" si="29">+D56+D54+D52+D50+D48+D46+D44+D42+D40+D38+D36</f>
        <v>0</v>
      </c>
      <c r="E58" s="46">
        <f t="shared" si="29"/>
        <v>0</v>
      </c>
      <c r="F58" s="46">
        <f>+F56+F54+F52+F50+F48+F46+F44+F42+F40+F38+F36</f>
        <v>0</v>
      </c>
      <c r="G58" s="46">
        <f t="shared" ref="G58:K58" si="30">+G56+G54+G52+G50+G48+G46+G44+G42+G40+G38+G36</f>
        <v>0</v>
      </c>
      <c r="H58" s="46">
        <f t="shared" si="30"/>
        <v>0</v>
      </c>
      <c r="I58" s="46">
        <f t="shared" si="30"/>
        <v>0</v>
      </c>
      <c r="J58" s="46">
        <f t="shared" si="30"/>
        <v>0</v>
      </c>
      <c r="K58" s="46">
        <f t="shared" si="30"/>
        <v>0</v>
      </c>
      <c r="L58" s="46">
        <f>+L56+L54+L52+L50+L48+L46+L44+L42+L40+L38+L36</f>
        <v>380121</v>
      </c>
      <c r="M58" s="46">
        <f t="shared" ref="M58:U58" si="31">+M56+M54+M52+M50+M48+M46+M44+M42+M40+M38+M36</f>
        <v>0</v>
      </c>
      <c r="N58" s="46">
        <f t="shared" si="31"/>
        <v>0</v>
      </c>
      <c r="O58" s="46">
        <f t="shared" si="31"/>
        <v>0</v>
      </c>
      <c r="P58" s="46">
        <f t="shared" si="31"/>
        <v>0</v>
      </c>
      <c r="Q58" s="46">
        <f t="shared" si="31"/>
        <v>0</v>
      </c>
      <c r="R58" s="46">
        <f t="shared" si="31"/>
        <v>0</v>
      </c>
      <c r="S58" s="46">
        <f t="shared" si="31"/>
        <v>0</v>
      </c>
      <c r="T58" s="46">
        <f t="shared" si="31"/>
        <v>0</v>
      </c>
      <c r="U58" s="46">
        <f t="shared" si="31"/>
        <v>0</v>
      </c>
      <c r="V58" s="46">
        <f>+V56+V54+V52+V50+V48+V46+V44+V42+V40+V38+V36</f>
        <v>380121</v>
      </c>
      <c r="W58" s="338">
        <f>110707+269414</f>
        <v>380121</v>
      </c>
    </row>
    <row r="59" spans="1:23">
      <c r="A59" s="451" t="s">
        <v>404</v>
      </c>
      <c r="B59" s="451"/>
      <c r="C59" s="451"/>
      <c r="D59" s="451"/>
      <c r="E59" s="451"/>
      <c r="F59" s="451"/>
      <c r="G59" s="451"/>
      <c r="H59" s="451"/>
      <c r="I59" s="451"/>
      <c r="J59" s="451"/>
      <c r="K59" s="451"/>
      <c r="L59" s="451"/>
      <c r="M59" s="451"/>
      <c r="N59" s="451"/>
      <c r="O59" s="451"/>
      <c r="P59" s="451"/>
      <c r="Q59" s="451"/>
      <c r="R59" s="451"/>
      <c r="S59" s="451"/>
      <c r="T59" s="451"/>
      <c r="U59" s="451"/>
      <c r="V59" s="451"/>
    </row>
    <row r="60" spans="1:23">
      <c r="A60" s="451" t="s">
        <v>402</v>
      </c>
      <c r="B60" s="451"/>
      <c r="C60" s="451"/>
      <c r="D60" s="451"/>
      <c r="E60" s="451"/>
      <c r="F60" s="451"/>
      <c r="G60" s="451"/>
      <c r="H60" s="451"/>
      <c r="I60" s="451"/>
      <c r="J60" s="451"/>
      <c r="K60" s="451"/>
      <c r="L60" s="451"/>
      <c r="M60" s="451"/>
      <c r="N60" s="451"/>
      <c r="O60" s="451"/>
      <c r="P60" s="451"/>
      <c r="Q60" s="451"/>
      <c r="R60" s="451"/>
      <c r="S60" s="451"/>
      <c r="T60" s="451"/>
      <c r="U60" s="451"/>
      <c r="V60" s="451"/>
    </row>
    <row r="61" spans="1:23">
      <c r="A61" s="452" t="s">
        <v>421</v>
      </c>
      <c r="B61" s="452"/>
      <c r="C61" s="452"/>
      <c r="D61" s="452"/>
      <c r="E61" s="452"/>
      <c r="F61" s="452"/>
      <c r="G61" s="452"/>
      <c r="H61" s="452"/>
      <c r="I61" s="452"/>
      <c r="J61" s="452"/>
      <c r="K61" s="452"/>
      <c r="L61" s="452"/>
      <c r="M61" s="452"/>
      <c r="N61" s="452"/>
      <c r="O61" s="452"/>
      <c r="P61" s="452"/>
      <c r="Q61" s="452"/>
      <c r="R61" s="452"/>
      <c r="S61" s="452"/>
      <c r="T61" s="452"/>
      <c r="U61" s="452"/>
      <c r="V61" s="452"/>
    </row>
    <row r="62" spans="1:23">
      <c r="A62" s="453" t="s">
        <v>139</v>
      </c>
      <c r="B62" s="453"/>
      <c r="C62" s="454" t="s">
        <v>141</v>
      </c>
      <c r="D62" s="454"/>
      <c r="E62" s="348" t="s">
        <v>144</v>
      </c>
      <c r="F62" s="454" t="s">
        <v>146</v>
      </c>
      <c r="G62" s="453"/>
      <c r="H62" s="454" t="s">
        <v>160</v>
      </c>
      <c r="I62" s="453"/>
      <c r="J62" s="348" t="s">
        <v>161</v>
      </c>
      <c r="K62" s="455" t="s">
        <v>162</v>
      </c>
      <c r="L62" s="456"/>
      <c r="M62" s="457"/>
      <c r="N62" s="348" t="s">
        <v>163</v>
      </c>
      <c r="O62" s="455" t="s">
        <v>164</v>
      </c>
      <c r="P62" s="456"/>
      <c r="Q62" s="457"/>
      <c r="R62" s="454" t="s">
        <v>165</v>
      </c>
      <c r="S62" s="453"/>
      <c r="T62" s="348" t="s">
        <v>212</v>
      </c>
      <c r="U62" s="348" t="s">
        <v>166</v>
      </c>
      <c r="V62" s="458" t="s">
        <v>17</v>
      </c>
    </row>
    <row r="63" spans="1:23">
      <c r="A63" s="453" t="s">
        <v>140</v>
      </c>
      <c r="B63" s="453"/>
      <c r="C63" s="348" t="s">
        <v>142</v>
      </c>
      <c r="D63" s="348" t="s">
        <v>143</v>
      </c>
      <c r="E63" s="348" t="s">
        <v>145</v>
      </c>
      <c r="F63" s="348" t="s">
        <v>147</v>
      </c>
      <c r="G63" s="348" t="s">
        <v>148</v>
      </c>
      <c r="H63" s="348" t="s">
        <v>149</v>
      </c>
      <c r="I63" s="348" t="s">
        <v>150</v>
      </c>
      <c r="J63" s="348" t="s">
        <v>151</v>
      </c>
      <c r="K63" s="348" t="s">
        <v>152</v>
      </c>
      <c r="L63" s="348" t="s">
        <v>153</v>
      </c>
      <c r="M63" s="348" t="s">
        <v>238</v>
      </c>
      <c r="N63" s="348" t="s">
        <v>154</v>
      </c>
      <c r="O63" s="348" t="s">
        <v>155</v>
      </c>
      <c r="P63" s="348" t="s">
        <v>156</v>
      </c>
      <c r="Q63" s="348" t="s">
        <v>216</v>
      </c>
      <c r="R63" s="348" t="s">
        <v>157</v>
      </c>
      <c r="S63" s="348" t="s">
        <v>158</v>
      </c>
      <c r="T63" s="348" t="s">
        <v>213</v>
      </c>
      <c r="U63" s="348" t="s">
        <v>159</v>
      </c>
      <c r="V63" s="458"/>
    </row>
    <row r="64" spans="1:23">
      <c r="A64" s="445" t="s">
        <v>385</v>
      </c>
      <c r="B64" s="446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50">
        <v>433845.1</v>
      </c>
      <c r="V64" s="50">
        <f>SUM(C64:U64)</f>
        <v>433845.1</v>
      </c>
    </row>
    <row r="65" spans="1:22">
      <c r="A65" s="447" t="s">
        <v>175</v>
      </c>
      <c r="B65" s="448"/>
      <c r="C65" s="48">
        <f>SUM(C64)</f>
        <v>0</v>
      </c>
      <c r="D65" s="48">
        <f t="shared" ref="D65:U65" si="32">SUM(D64)</f>
        <v>0</v>
      </c>
      <c r="E65" s="48">
        <f t="shared" si="32"/>
        <v>0</v>
      </c>
      <c r="F65" s="48">
        <f t="shared" si="32"/>
        <v>0</v>
      </c>
      <c r="G65" s="48">
        <f t="shared" si="32"/>
        <v>0</v>
      </c>
      <c r="H65" s="48">
        <f t="shared" si="32"/>
        <v>0</v>
      </c>
      <c r="I65" s="48">
        <f t="shared" si="32"/>
        <v>0</v>
      </c>
      <c r="J65" s="48">
        <f t="shared" si="32"/>
        <v>0</v>
      </c>
      <c r="K65" s="48">
        <f t="shared" si="32"/>
        <v>0</v>
      </c>
      <c r="L65" s="48">
        <f t="shared" si="32"/>
        <v>0</v>
      </c>
      <c r="M65" s="48">
        <f t="shared" si="32"/>
        <v>0</v>
      </c>
      <c r="N65" s="48">
        <f t="shared" si="32"/>
        <v>0</v>
      </c>
      <c r="O65" s="48">
        <f t="shared" si="32"/>
        <v>0</v>
      </c>
      <c r="P65" s="48">
        <f t="shared" si="32"/>
        <v>0</v>
      </c>
      <c r="Q65" s="48">
        <f t="shared" si="32"/>
        <v>0</v>
      </c>
      <c r="R65" s="48">
        <f t="shared" si="32"/>
        <v>0</v>
      </c>
      <c r="S65" s="48">
        <f t="shared" si="32"/>
        <v>0</v>
      </c>
      <c r="T65" s="48">
        <f t="shared" si="32"/>
        <v>0</v>
      </c>
      <c r="U65" s="48">
        <f t="shared" si="32"/>
        <v>433845.1</v>
      </c>
      <c r="V65" s="48">
        <f>SUM(V64)</f>
        <v>433845.1</v>
      </c>
    </row>
    <row r="66" spans="1:22">
      <c r="A66" s="445" t="s">
        <v>386</v>
      </c>
      <c r="B66" s="446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50">
        <f>SUM(C66:U66)</f>
        <v>0</v>
      </c>
    </row>
    <row r="67" spans="1:22">
      <c r="A67" s="447" t="s">
        <v>175</v>
      </c>
      <c r="B67" s="448"/>
      <c r="C67" s="48">
        <f>SUM(C66)</f>
        <v>0</v>
      </c>
      <c r="D67" s="48">
        <f t="shared" ref="D67:U67" si="33">SUM(D66)</f>
        <v>0</v>
      </c>
      <c r="E67" s="48">
        <f t="shared" si="33"/>
        <v>0</v>
      </c>
      <c r="F67" s="48">
        <f t="shared" si="33"/>
        <v>0</v>
      </c>
      <c r="G67" s="48">
        <f t="shared" si="33"/>
        <v>0</v>
      </c>
      <c r="H67" s="48">
        <f t="shared" si="33"/>
        <v>0</v>
      </c>
      <c r="I67" s="48">
        <f t="shared" si="33"/>
        <v>0</v>
      </c>
      <c r="J67" s="48">
        <f t="shared" si="33"/>
        <v>0</v>
      </c>
      <c r="K67" s="48">
        <f t="shared" si="33"/>
        <v>0</v>
      </c>
      <c r="L67" s="48">
        <f t="shared" si="33"/>
        <v>0</v>
      </c>
      <c r="M67" s="48">
        <f t="shared" si="33"/>
        <v>0</v>
      </c>
      <c r="N67" s="48">
        <f t="shared" si="33"/>
        <v>0</v>
      </c>
      <c r="O67" s="48">
        <f t="shared" si="33"/>
        <v>0</v>
      </c>
      <c r="P67" s="48">
        <f t="shared" si="33"/>
        <v>0</v>
      </c>
      <c r="Q67" s="48">
        <f t="shared" si="33"/>
        <v>0</v>
      </c>
      <c r="R67" s="48">
        <f t="shared" si="33"/>
        <v>0</v>
      </c>
      <c r="S67" s="48">
        <f t="shared" si="33"/>
        <v>0</v>
      </c>
      <c r="T67" s="48">
        <f t="shared" si="33"/>
        <v>0</v>
      </c>
      <c r="U67" s="48">
        <f t="shared" si="33"/>
        <v>0</v>
      </c>
      <c r="V67" s="48">
        <f>SUM(V66)</f>
        <v>0</v>
      </c>
    </row>
    <row r="68" spans="1:22">
      <c r="A68" s="445" t="s">
        <v>387</v>
      </c>
      <c r="B68" s="446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1:22">
      <c r="A69" s="447" t="s">
        <v>175</v>
      </c>
      <c r="B69" s="448"/>
      <c r="C69" s="48">
        <f>SUM(C68)</f>
        <v>0</v>
      </c>
      <c r="D69" s="48">
        <f t="shared" ref="D69:U69" si="34">SUM(D68)</f>
        <v>0</v>
      </c>
      <c r="E69" s="48">
        <f t="shared" si="34"/>
        <v>0</v>
      </c>
      <c r="F69" s="48">
        <f t="shared" si="34"/>
        <v>0</v>
      </c>
      <c r="G69" s="48">
        <f t="shared" si="34"/>
        <v>0</v>
      </c>
      <c r="H69" s="48">
        <f t="shared" si="34"/>
        <v>0</v>
      </c>
      <c r="I69" s="48">
        <f t="shared" si="34"/>
        <v>0</v>
      </c>
      <c r="J69" s="48">
        <f t="shared" si="34"/>
        <v>0</v>
      </c>
      <c r="K69" s="48">
        <f t="shared" si="34"/>
        <v>0</v>
      </c>
      <c r="L69" s="48">
        <f t="shared" si="34"/>
        <v>0</v>
      </c>
      <c r="M69" s="48">
        <f t="shared" si="34"/>
        <v>0</v>
      </c>
      <c r="N69" s="48">
        <f t="shared" si="34"/>
        <v>0</v>
      </c>
      <c r="O69" s="48">
        <f t="shared" si="34"/>
        <v>0</v>
      </c>
      <c r="P69" s="48">
        <f t="shared" si="34"/>
        <v>0</v>
      </c>
      <c r="Q69" s="48">
        <f t="shared" si="34"/>
        <v>0</v>
      </c>
      <c r="R69" s="48">
        <f t="shared" si="34"/>
        <v>0</v>
      </c>
      <c r="S69" s="48">
        <f t="shared" si="34"/>
        <v>0</v>
      </c>
      <c r="T69" s="48">
        <f t="shared" si="34"/>
        <v>0</v>
      </c>
      <c r="U69" s="48">
        <f t="shared" si="34"/>
        <v>0</v>
      </c>
      <c r="V69" s="48">
        <f>SUM(V68)</f>
        <v>0</v>
      </c>
    </row>
    <row r="70" spans="1:22">
      <c r="A70" s="445" t="s">
        <v>388</v>
      </c>
      <c r="B70" s="446"/>
      <c r="C70" s="49"/>
      <c r="D70" s="49"/>
      <c r="E70" s="49"/>
      <c r="F70" s="49">
        <v>0</v>
      </c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</row>
    <row r="71" spans="1:22">
      <c r="A71" s="447" t="s">
        <v>175</v>
      </c>
      <c r="B71" s="448"/>
      <c r="C71" s="48">
        <f>+C70</f>
        <v>0</v>
      </c>
      <c r="D71" s="48">
        <f t="shared" ref="D71:V71" si="35">+D70</f>
        <v>0</v>
      </c>
      <c r="E71" s="48">
        <f t="shared" si="35"/>
        <v>0</v>
      </c>
      <c r="F71" s="48">
        <f t="shared" si="35"/>
        <v>0</v>
      </c>
      <c r="G71" s="48">
        <f t="shared" si="35"/>
        <v>0</v>
      </c>
      <c r="H71" s="48">
        <f t="shared" si="35"/>
        <v>0</v>
      </c>
      <c r="I71" s="48">
        <f t="shared" si="35"/>
        <v>0</v>
      </c>
      <c r="J71" s="48">
        <f t="shared" si="35"/>
        <v>0</v>
      </c>
      <c r="K71" s="48">
        <f t="shared" si="35"/>
        <v>0</v>
      </c>
      <c r="L71" s="48">
        <f t="shared" si="35"/>
        <v>0</v>
      </c>
      <c r="M71" s="48">
        <f t="shared" si="35"/>
        <v>0</v>
      </c>
      <c r="N71" s="48">
        <f t="shared" si="35"/>
        <v>0</v>
      </c>
      <c r="O71" s="48">
        <f t="shared" si="35"/>
        <v>0</v>
      </c>
      <c r="P71" s="48">
        <f t="shared" si="35"/>
        <v>0</v>
      </c>
      <c r="Q71" s="48">
        <f t="shared" si="35"/>
        <v>0</v>
      </c>
      <c r="R71" s="48">
        <f t="shared" si="35"/>
        <v>0</v>
      </c>
      <c r="S71" s="48">
        <f t="shared" si="35"/>
        <v>0</v>
      </c>
      <c r="T71" s="48">
        <f t="shared" si="35"/>
        <v>0</v>
      </c>
      <c r="U71" s="48">
        <f t="shared" si="35"/>
        <v>0</v>
      </c>
      <c r="V71" s="48">
        <f t="shared" si="35"/>
        <v>0</v>
      </c>
    </row>
    <row r="72" spans="1:22">
      <c r="A72" s="445" t="s">
        <v>389</v>
      </c>
      <c r="B72" s="446"/>
      <c r="C72" s="49">
        <v>0</v>
      </c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>
        <f>SUM(F72:U72)</f>
        <v>0</v>
      </c>
    </row>
    <row r="73" spans="1:22">
      <c r="A73" s="447" t="s">
        <v>175</v>
      </c>
      <c r="B73" s="448"/>
      <c r="C73" s="48">
        <f>SUM(C72)</f>
        <v>0</v>
      </c>
      <c r="D73" s="48">
        <f t="shared" ref="D73:V73" si="36">SUM(D72)</f>
        <v>0</v>
      </c>
      <c r="E73" s="48">
        <f t="shared" si="36"/>
        <v>0</v>
      </c>
      <c r="F73" s="48">
        <f t="shared" si="36"/>
        <v>0</v>
      </c>
      <c r="G73" s="48">
        <f t="shared" si="36"/>
        <v>0</v>
      </c>
      <c r="H73" s="48">
        <f t="shared" si="36"/>
        <v>0</v>
      </c>
      <c r="I73" s="48">
        <f t="shared" si="36"/>
        <v>0</v>
      </c>
      <c r="J73" s="48">
        <f t="shared" si="36"/>
        <v>0</v>
      </c>
      <c r="K73" s="48">
        <f t="shared" si="36"/>
        <v>0</v>
      </c>
      <c r="L73" s="48">
        <f t="shared" si="36"/>
        <v>0</v>
      </c>
      <c r="M73" s="48">
        <f t="shared" si="36"/>
        <v>0</v>
      </c>
      <c r="N73" s="48">
        <f t="shared" si="36"/>
        <v>0</v>
      </c>
      <c r="O73" s="48">
        <f t="shared" si="36"/>
        <v>0</v>
      </c>
      <c r="P73" s="48">
        <f t="shared" si="36"/>
        <v>0</v>
      </c>
      <c r="Q73" s="48">
        <f t="shared" si="36"/>
        <v>0</v>
      </c>
      <c r="R73" s="48">
        <f t="shared" si="36"/>
        <v>0</v>
      </c>
      <c r="S73" s="48">
        <f t="shared" si="36"/>
        <v>0</v>
      </c>
      <c r="T73" s="48">
        <f t="shared" si="36"/>
        <v>0</v>
      </c>
      <c r="U73" s="48">
        <f t="shared" si="36"/>
        <v>0</v>
      </c>
      <c r="V73" s="48">
        <f t="shared" si="36"/>
        <v>0</v>
      </c>
    </row>
    <row r="74" spans="1:22">
      <c r="A74" s="445" t="s">
        <v>390</v>
      </c>
      <c r="B74" s="446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>
        <f>SUM(F74:U74)</f>
        <v>0</v>
      </c>
    </row>
    <row r="75" spans="1:22">
      <c r="A75" s="447" t="s">
        <v>175</v>
      </c>
      <c r="B75" s="448"/>
      <c r="C75" s="48">
        <f>SUM(C74)</f>
        <v>0</v>
      </c>
      <c r="D75" s="48">
        <f t="shared" ref="D75:V75" si="37">SUM(D74)</f>
        <v>0</v>
      </c>
      <c r="E75" s="48">
        <f t="shared" si="37"/>
        <v>0</v>
      </c>
      <c r="F75" s="48">
        <f t="shared" si="37"/>
        <v>0</v>
      </c>
      <c r="G75" s="48">
        <f t="shared" si="37"/>
        <v>0</v>
      </c>
      <c r="H75" s="48">
        <f t="shared" si="37"/>
        <v>0</v>
      </c>
      <c r="I75" s="48">
        <f t="shared" si="37"/>
        <v>0</v>
      </c>
      <c r="J75" s="48">
        <f t="shared" si="37"/>
        <v>0</v>
      </c>
      <c r="K75" s="48">
        <f t="shared" si="37"/>
        <v>0</v>
      </c>
      <c r="L75" s="48">
        <f t="shared" si="37"/>
        <v>0</v>
      </c>
      <c r="M75" s="48">
        <f t="shared" si="37"/>
        <v>0</v>
      </c>
      <c r="N75" s="48">
        <f t="shared" si="37"/>
        <v>0</v>
      </c>
      <c r="O75" s="48">
        <f t="shared" si="37"/>
        <v>0</v>
      </c>
      <c r="P75" s="48">
        <f t="shared" si="37"/>
        <v>0</v>
      </c>
      <c r="Q75" s="48">
        <f t="shared" si="37"/>
        <v>0</v>
      </c>
      <c r="R75" s="48">
        <f t="shared" si="37"/>
        <v>0</v>
      </c>
      <c r="S75" s="48">
        <f t="shared" si="37"/>
        <v>0</v>
      </c>
      <c r="T75" s="48">
        <f t="shared" si="37"/>
        <v>0</v>
      </c>
      <c r="U75" s="48">
        <f t="shared" si="37"/>
        <v>0</v>
      </c>
      <c r="V75" s="48">
        <f t="shared" si="37"/>
        <v>0</v>
      </c>
    </row>
    <row r="76" spans="1:22">
      <c r="A76" s="445" t="s">
        <v>391</v>
      </c>
      <c r="B76" s="446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</row>
    <row r="77" spans="1:22">
      <c r="A77" s="447" t="s">
        <v>175</v>
      </c>
      <c r="B77" s="448"/>
      <c r="C77" s="48">
        <f>SUM(C76)</f>
        <v>0</v>
      </c>
      <c r="D77" s="48">
        <f t="shared" ref="D77:V77" si="38">SUM(D76)</f>
        <v>0</v>
      </c>
      <c r="E77" s="48">
        <f t="shared" si="38"/>
        <v>0</v>
      </c>
      <c r="F77" s="48">
        <f t="shared" si="38"/>
        <v>0</v>
      </c>
      <c r="G77" s="48">
        <f t="shared" si="38"/>
        <v>0</v>
      </c>
      <c r="H77" s="48">
        <f t="shared" si="38"/>
        <v>0</v>
      </c>
      <c r="I77" s="48">
        <f t="shared" si="38"/>
        <v>0</v>
      </c>
      <c r="J77" s="48">
        <f t="shared" si="38"/>
        <v>0</v>
      </c>
      <c r="K77" s="48">
        <f t="shared" si="38"/>
        <v>0</v>
      </c>
      <c r="L77" s="48">
        <f t="shared" si="38"/>
        <v>0</v>
      </c>
      <c r="M77" s="48">
        <f t="shared" si="38"/>
        <v>0</v>
      </c>
      <c r="N77" s="48">
        <f t="shared" si="38"/>
        <v>0</v>
      </c>
      <c r="O77" s="48">
        <f t="shared" si="38"/>
        <v>0</v>
      </c>
      <c r="P77" s="48">
        <f t="shared" si="38"/>
        <v>0</v>
      </c>
      <c r="Q77" s="48">
        <f t="shared" si="38"/>
        <v>0</v>
      </c>
      <c r="R77" s="48">
        <f t="shared" si="38"/>
        <v>0</v>
      </c>
      <c r="S77" s="48">
        <f t="shared" si="38"/>
        <v>0</v>
      </c>
      <c r="T77" s="48">
        <f t="shared" si="38"/>
        <v>0</v>
      </c>
      <c r="U77" s="48">
        <f t="shared" si="38"/>
        <v>0</v>
      </c>
      <c r="V77" s="48">
        <f t="shared" si="38"/>
        <v>0</v>
      </c>
    </row>
    <row r="78" spans="1:22">
      <c r="A78" s="445" t="s">
        <v>392</v>
      </c>
      <c r="B78" s="446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</row>
    <row r="79" spans="1:22">
      <c r="A79" s="447" t="s">
        <v>175</v>
      </c>
      <c r="B79" s="448"/>
      <c r="C79" s="48">
        <f>SUM(C78)</f>
        <v>0</v>
      </c>
      <c r="D79" s="48">
        <f t="shared" ref="D79:V79" si="39">SUM(D78)</f>
        <v>0</v>
      </c>
      <c r="E79" s="48">
        <f t="shared" si="39"/>
        <v>0</v>
      </c>
      <c r="F79" s="48">
        <f t="shared" si="39"/>
        <v>0</v>
      </c>
      <c r="G79" s="48">
        <f t="shared" si="39"/>
        <v>0</v>
      </c>
      <c r="H79" s="48">
        <f t="shared" si="39"/>
        <v>0</v>
      </c>
      <c r="I79" s="48">
        <f t="shared" si="39"/>
        <v>0</v>
      </c>
      <c r="J79" s="48">
        <f t="shared" si="39"/>
        <v>0</v>
      </c>
      <c r="K79" s="48">
        <f t="shared" si="39"/>
        <v>0</v>
      </c>
      <c r="L79" s="48">
        <f t="shared" si="39"/>
        <v>0</v>
      </c>
      <c r="M79" s="48">
        <f t="shared" si="39"/>
        <v>0</v>
      </c>
      <c r="N79" s="48">
        <f t="shared" si="39"/>
        <v>0</v>
      </c>
      <c r="O79" s="48">
        <f t="shared" si="39"/>
        <v>0</v>
      </c>
      <c r="P79" s="48">
        <f t="shared" si="39"/>
        <v>0</v>
      </c>
      <c r="Q79" s="48">
        <f t="shared" si="39"/>
        <v>0</v>
      </c>
      <c r="R79" s="48">
        <f t="shared" si="39"/>
        <v>0</v>
      </c>
      <c r="S79" s="48">
        <f t="shared" si="39"/>
        <v>0</v>
      </c>
      <c r="T79" s="48">
        <f t="shared" si="39"/>
        <v>0</v>
      </c>
      <c r="U79" s="48">
        <f t="shared" si="39"/>
        <v>0</v>
      </c>
      <c r="V79" s="48">
        <f t="shared" si="39"/>
        <v>0</v>
      </c>
    </row>
    <row r="80" spans="1:22">
      <c r="A80" s="445" t="s">
        <v>403</v>
      </c>
      <c r="B80" s="446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>
        <v>246700</v>
      </c>
      <c r="U80" s="49"/>
      <c r="V80" s="49">
        <f>SUM(C80:U80)</f>
        <v>246700</v>
      </c>
    </row>
    <row r="81" spans="1:22">
      <c r="A81" s="447" t="s">
        <v>175</v>
      </c>
      <c r="B81" s="448"/>
      <c r="C81" s="48">
        <f>SUM(C80+C52)</f>
        <v>0</v>
      </c>
      <c r="D81" s="48">
        <f t="shared" ref="D81:K81" si="40">SUM(D80+D52)</f>
        <v>0</v>
      </c>
      <c r="E81" s="48">
        <f t="shared" si="40"/>
        <v>0</v>
      </c>
      <c r="F81" s="48">
        <f t="shared" si="40"/>
        <v>0</v>
      </c>
      <c r="G81" s="48">
        <f t="shared" si="40"/>
        <v>0</v>
      </c>
      <c r="H81" s="48">
        <f t="shared" si="40"/>
        <v>0</v>
      </c>
      <c r="I81" s="48">
        <f t="shared" si="40"/>
        <v>0</v>
      </c>
      <c r="J81" s="48">
        <f t="shared" si="40"/>
        <v>0</v>
      </c>
      <c r="K81" s="48">
        <f t="shared" si="40"/>
        <v>0</v>
      </c>
      <c r="L81" s="48">
        <f>SUM(L80+L52)</f>
        <v>380121</v>
      </c>
      <c r="M81" s="48">
        <f t="shared" ref="M81:V81" si="41">SUM(M80+M52)</f>
        <v>0</v>
      </c>
      <c r="N81" s="48">
        <f t="shared" si="41"/>
        <v>0</v>
      </c>
      <c r="O81" s="48">
        <f t="shared" si="41"/>
        <v>0</v>
      </c>
      <c r="P81" s="48">
        <f t="shared" si="41"/>
        <v>0</v>
      </c>
      <c r="Q81" s="48">
        <f t="shared" si="41"/>
        <v>0</v>
      </c>
      <c r="R81" s="48">
        <f t="shared" si="41"/>
        <v>0</v>
      </c>
      <c r="S81" s="48">
        <f t="shared" si="41"/>
        <v>0</v>
      </c>
      <c r="T81" s="48">
        <f t="shared" si="41"/>
        <v>246700</v>
      </c>
      <c r="U81" s="48">
        <f t="shared" si="41"/>
        <v>0</v>
      </c>
      <c r="V81" s="48">
        <f t="shared" si="41"/>
        <v>626821</v>
      </c>
    </row>
    <row r="82" spans="1:22">
      <c r="A82" s="445" t="s">
        <v>397</v>
      </c>
      <c r="B82" s="446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</row>
    <row r="83" spans="1:22">
      <c r="A83" s="447" t="s">
        <v>175</v>
      </c>
      <c r="B83" s="448"/>
      <c r="C83" s="48">
        <f>SUM(C82)</f>
        <v>0</v>
      </c>
      <c r="D83" s="48">
        <f t="shared" ref="D83:V83" si="42">SUM(D82)</f>
        <v>0</v>
      </c>
      <c r="E83" s="48">
        <f t="shared" si="42"/>
        <v>0</v>
      </c>
      <c r="F83" s="48">
        <f t="shared" si="42"/>
        <v>0</v>
      </c>
      <c r="G83" s="48">
        <f t="shared" si="42"/>
        <v>0</v>
      </c>
      <c r="H83" s="48">
        <f t="shared" si="42"/>
        <v>0</v>
      </c>
      <c r="I83" s="48">
        <f t="shared" si="42"/>
        <v>0</v>
      </c>
      <c r="J83" s="48">
        <f t="shared" si="42"/>
        <v>0</v>
      </c>
      <c r="K83" s="48">
        <f t="shared" si="42"/>
        <v>0</v>
      </c>
      <c r="L83" s="48">
        <f t="shared" si="42"/>
        <v>0</v>
      </c>
      <c r="M83" s="48">
        <f t="shared" si="42"/>
        <v>0</v>
      </c>
      <c r="N83" s="48">
        <f t="shared" si="42"/>
        <v>0</v>
      </c>
      <c r="O83" s="48">
        <f t="shared" si="42"/>
        <v>0</v>
      </c>
      <c r="P83" s="48">
        <f t="shared" si="42"/>
        <v>0</v>
      </c>
      <c r="Q83" s="48">
        <f t="shared" si="42"/>
        <v>0</v>
      </c>
      <c r="R83" s="48">
        <f t="shared" si="42"/>
        <v>0</v>
      </c>
      <c r="S83" s="48">
        <f t="shared" si="42"/>
        <v>0</v>
      </c>
      <c r="T83" s="48">
        <f t="shared" si="42"/>
        <v>0</v>
      </c>
      <c r="U83" s="48">
        <f t="shared" si="42"/>
        <v>0</v>
      </c>
      <c r="V83" s="48">
        <f t="shared" si="42"/>
        <v>0</v>
      </c>
    </row>
    <row r="84" spans="1:22">
      <c r="A84" s="445" t="s">
        <v>396</v>
      </c>
      <c r="B84" s="446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</row>
    <row r="85" spans="1:22">
      <c r="A85" s="447" t="s">
        <v>175</v>
      </c>
      <c r="B85" s="448"/>
      <c r="C85" s="48">
        <f>SUM(C84)</f>
        <v>0</v>
      </c>
      <c r="D85" s="48">
        <f t="shared" ref="D85:V85" si="43">SUM(D84)</f>
        <v>0</v>
      </c>
      <c r="E85" s="48">
        <f t="shared" si="43"/>
        <v>0</v>
      </c>
      <c r="F85" s="48">
        <f t="shared" si="43"/>
        <v>0</v>
      </c>
      <c r="G85" s="48">
        <f t="shared" si="43"/>
        <v>0</v>
      </c>
      <c r="H85" s="48">
        <f t="shared" si="43"/>
        <v>0</v>
      </c>
      <c r="I85" s="48">
        <f t="shared" si="43"/>
        <v>0</v>
      </c>
      <c r="J85" s="48">
        <f t="shared" si="43"/>
        <v>0</v>
      </c>
      <c r="K85" s="48">
        <f t="shared" si="43"/>
        <v>0</v>
      </c>
      <c r="L85" s="48">
        <f t="shared" si="43"/>
        <v>0</v>
      </c>
      <c r="M85" s="48">
        <f t="shared" si="43"/>
        <v>0</v>
      </c>
      <c r="N85" s="48">
        <f t="shared" si="43"/>
        <v>0</v>
      </c>
      <c r="O85" s="48">
        <f t="shared" si="43"/>
        <v>0</v>
      </c>
      <c r="P85" s="48">
        <f t="shared" si="43"/>
        <v>0</v>
      </c>
      <c r="Q85" s="48">
        <f t="shared" si="43"/>
        <v>0</v>
      </c>
      <c r="R85" s="48">
        <f t="shared" si="43"/>
        <v>0</v>
      </c>
      <c r="S85" s="48">
        <f t="shared" si="43"/>
        <v>0</v>
      </c>
      <c r="T85" s="48">
        <f t="shared" si="43"/>
        <v>0</v>
      </c>
      <c r="U85" s="48">
        <f t="shared" si="43"/>
        <v>0</v>
      </c>
      <c r="V85" s="48">
        <f t="shared" si="43"/>
        <v>0</v>
      </c>
    </row>
    <row r="86" spans="1:22">
      <c r="A86" s="449" t="s">
        <v>174</v>
      </c>
      <c r="B86" s="450"/>
      <c r="C86" s="46">
        <f>SUM(C64,C66,C68,C70,C72,C74,C76,C78,C80,C82,C84)</f>
        <v>0</v>
      </c>
      <c r="D86" s="46">
        <f>SUM(D64,D66,D68,D70,D72,D74,D76,D78,D80,D82,D84)</f>
        <v>0</v>
      </c>
      <c r="E86" s="46">
        <f t="shared" ref="E86:K86" si="44">SUM(E64,E66,E68,E70,E72,E74,E76,E78,E80,E82,E84)</f>
        <v>0</v>
      </c>
      <c r="F86" s="46">
        <f t="shared" si="44"/>
        <v>0</v>
      </c>
      <c r="G86" s="46">
        <f t="shared" si="44"/>
        <v>0</v>
      </c>
      <c r="H86" s="46">
        <f t="shared" si="44"/>
        <v>0</v>
      </c>
      <c r="I86" s="46">
        <f t="shared" si="44"/>
        <v>0</v>
      </c>
      <c r="J86" s="46">
        <f t="shared" si="44"/>
        <v>0</v>
      </c>
      <c r="K86" s="46">
        <f t="shared" si="44"/>
        <v>0</v>
      </c>
      <c r="L86" s="46">
        <f>SUM(L64,L66,L68,L70,L72,L74,L76,L78,L80,L82,L84)</f>
        <v>0</v>
      </c>
      <c r="M86" s="46">
        <f t="shared" ref="M86:U86" si="45">SUM(M64,M66,M68,M70,M72,M74,M76,M78,M80,M82,M84)</f>
        <v>0</v>
      </c>
      <c r="N86" s="46">
        <f t="shared" si="45"/>
        <v>0</v>
      </c>
      <c r="O86" s="46">
        <f t="shared" si="45"/>
        <v>0</v>
      </c>
      <c r="P86" s="46">
        <f t="shared" si="45"/>
        <v>0</v>
      </c>
      <c r="Q86" s="46">
        <f t="shared" si="45"/>
        <v>0</v>
      </c>
      <c r="R86" s="46">
        <f t="shared" si="45"/>
        <v>0</v>
      </c>
      <c r="S86" s="46">
        <f t="shared" si="45"/>
        <v>0</v>
      </c>
      <c r="T86" s="46">
        <f t="shared" si="45"/>
        <v>246700</v>
      </c>
      <c r="U86" s="46">
        <f t="shared" si="45"/>
        <v>433845.1</v>
      </c>
      <c r="V86" s="46">
        <f>SUM(V64,V66,V68,V70,V72,V74,V76,V78,V80,V82,V84)</f>
        <v>680545.1</v>
      </c>
    </row>
    <row r="87" spans="1:22">
      <c r="A87" s="449" t="s">
        <v>175</v>
      </c>
      <c r="B87" s="450"/>
      <c r="C87" s="46">
        <f>+C85+C83+C81+C79+C77+C75+C73+C71+C69+C67+C65</f>
        <v>0</v>
      </c>
      <c r="D87" s="46">
        <f t="shared" ref="D87:E87" si="46">+D85+D83+D81+D79+D77+D75+D73+D71+D69+D67+D65</f>
        <v>0</v>
      </c>
      <c r="E87" s="46">
        <f t="shared" si="46"/>
        <v>0</v>
      </c>
      <c r="F87" s="46">
        <f>+F85+F83+F81+F79+F77+F75+F73+F71+F69+F67+F65</f>
        <v>0</v>
      </c>
      <c r="G87" s="46">
        <f t="shared" ref="G87:K87" si="47">+G85+G83+G81+G79+G77+G75+G73+G71+G69+G67+G65</f>
        <v>0</v>
      </c>
      <c r="H87" s="46">
        <f t="shared" si="47"/>
        <v>0</v>
      </c>
      <c r="I87" s="46">
        <f t="shared" si="47"/>
        <v>0</v>
      </c>
      <c r="J87" s="46">
        <f t="shared" si="47"/>
        <v>0</v>
      </c>
      <c r="K87" s="46">
        <f t="shared" si="47"/>
        <v>0</v>
      </c>
      <c r="L87" s="46">
        <f>+L85+L83+L81+L79+L77+L75+L73+L71+L69+L67+L65</f>
        <v>380121</v>
      </c>
      <c r="M87" s="46">
        <f t="shared" ref="M87:U87" si="48">+M85+M83+M81+M79+M77+M75+M73+M71+M69+M67+M65</f>
        <v>0</v>
      </c>
      <c r="N87" s="46">
        <f t="shared" si="48"/>
        <v>0</v>
      </c>
      <c r="O87" s="46">
        <f t="shared" si="48"/>
        <v>0</v>
      </c>
      <c r="P87" s="46">
        <f t="shared" si="48"/>
        <v>0</v>
      </c>
      <c r="Q87" s="46">
        <f t="shared" si="48"/>
        <v>0</v>
      </c>
      <c r="R87" s="46">
        <f t="shared" si="48"/>
        <v>0</v>
      </c>
      <c r="S87" s="46">
        <f t="shared" si="48"/>
        <v>0</v>
      </c>
      <c r="T87" s="46">
        <f t="shared" si="48"/>
        <v>246700</v>
      </c>
      <c r="U87" s="46">
        <f t="shared" si="48"/>
        <v>433845.1</v>
      </c>
      <c r="V87" s="46">
        <f>+V85+V83+V81+V79+V77+V75+V73+V71+V69+V67+V65</f>
        <v>1060666.1000000001</v>
      </c>
    </row>
    <row r="88" spans="1:22">
      <c r="A88" s="451" t="s">
        <v>404</v>
      </c>
      <c r="B88" s="451"/>
      <c r="C88" s="451"/>
      <c r="D88" s="451"/>
      <c r="E88" s="451"/>
      <c r="F88" s="451"/>
      <c r="G88" s="451"/>
      <c r="H88" s="451"/>
      <c r="I88" s="451"/>
      <c r="J88" s="451"/>
      <c r="K88" s="451"/>
      <c r="L88" s="451"/>
      <c r="M88" s="451"/>
      <c r="N88" s="451"/>
      <c r="O88" s="451"/>
      <c r="P88" s="451"/>
      <c r="Q88" s="451"/>
      <c r="R88" s="451"/>
      <c r="S88" s="451"/>
      <c r="T88" s="451"/>
      <c r="U88" s="451"/>
      <c r="V88" s="451"/>
    </row>
    <row r="89" spans="1:22">
      <c r="A89" s="451" t="s">
        <v>402</v>
      </c>
      <c r="B89" s="451"/>
      <c r="C89" s="451"/>
      <c r="D89" s="451"/>
      <c r="E89" s="451"/>
      <c r="F89" s="451"/>
      <c r="G89" s="451"/>
      <c r="H89" s="451"/>
      <c r="I89" s="451"/>
      <c r="J89" s="451"/>
      <c r="K89" s="451"/>
      <c r="L89" s="451"/>
      <c r="M89" s="451"/>
      <c r="N89" s="451"/>
      <c r="O89" s="451"/>
      <c r="P89" s="451"/>
      <c r="Q89" s="451"/>
      <c r="R89" s="451"/>
      <c r="S89" s="451"/>
      <c r="T89" s="451"/>
      <c r="U89" s="451"/>
      <c r="V89" s="451"/>
    </row>
    <row r="90" spans="1:22">
      <c r="A90" s="452" t="s">
        <v>468</v>
      </c>
      <c r="B90" s="452"/>
      <c r="C90" s="452"/>
      <c r="D90" s="452"/>
      <c r="E90" s="452"/>
      <c r="F90" s="452"/>
      <c r="G90" s="452"/>
      <c r="H90" s="452"/>
      <c r="I90" s="452"/>
      <c r="J90" s="452"/>
      <c r="K90" s="452"/>
      <c r="L90" s="452"/>
      <c r="M90" s="452"/>
      <c r="N90" s="452"/>
      <c r="O90" s="452"/>
      <c r="P90" s="452"/>
      <c r="Q90" s="452"/>
      <c r="R90" s="452"/>
      <c r="S90" s="452"/>
      <c r="T90" s="452"/>
      <c r="U90" s="452"/>
      <c r="V90" s="452"/>
    </row>
    <row r="91" spans="1:22">
      <c r="A91" s="453" t="s">
        <v>139</v>
      </c>
      <c r="B91" s="453"/>
      <c r="C91" s="454" t="s">
        <v>141</v>
      </c>
      <c r="D91" s="454"/>
      <c r="E91" s="374" t="s">
        <v>144</v>
      </c>
      <c r="F91" s="454" t="s">
        <v>146</v>
      </c>
      <c r="G91" s="453"/>
      <c r="H91" s="454" t="s">
        <v>160</v>
      </c>
      <c r="I91" s="453"/>
      <c r="J91" s="374" t="s">
        <v>161</v>
      </c>
      <c r="K91" s="455" t="s">
        <v>162</v>
      </c>
      <c r="L91" s="456"/>
      <c r="M91" s="457"/>
      <c r="N91" s="374" t="s">
        <v>163</v>
      </c>
      <c r="O91" s="455" t="s">
        <v>164</v>
      </c>
      <c r="P91" s="456"/>
      <c r="Q91" s="457"/>
      <c r="R91" s="454" t="s">
        <v>165</v>
      </c>
      <c r="S91" s="453"/>
      <c r="T91" s="374" t="s">
        <v>212</v>
      </c>
      <c r="U91" s="374" t="s">
        <v>166</v>
      </c>
      <c r="V91" s="458" t="s">
        <v>17</v>
      </c>
    </row>
    <row r="92" spans="1:22">
      <c r="A92" s="453" t="s">
        <v>140</v>
      </c>
      <c r="B92" s="453"/>
      <c r="C92" s="374" t="s">
        <v>142</v>
      </c>
      <c r="D92" s="374" t="s">
        <v>143</v>
      </c>
      <c r="E92" s="374" t="s">
        <v>145</v>
      </c>
      <c r="F92" s="374" t="s">
        <v>147</v>
      </c>
      <c r="G92" s="374" t="s">
        <v>148</v>
      </c>
      <c r="H92" s="374" t="s">
        <v>149</v>
      </c>
      <c r="I92" s="374" t="s">
        <v>150</v>
      </c>
      <c r="J92" s="374" t="s">
        <v>151</v>
      </c>
      <c r="K92" s="374" t="s">
        <v>152</v>
      </c>
      <c r="L92" s="374" t="s">
        <v>153</v>
      </c>
      <c r="M92" s="374" t="s">
        <v>238</v>
      </c>
      <c r="N92" s="374" t="s">
        <v>154</v>
      </c>
      <c r="O92" s="374" t="s">
        <v>155</v>
      </c>
      <c r="P92" s="374" t="s">
        <v>156</v>
      </c>
      <c r="Q92" s="374" t="s">
        <v>216</v>
      </c>
      <c r="R92" s="374" t="s">
        <v>157</v>
      </c>
      <c r="S92" s="374" t="s">
        <v>158</v>
      </c>
      <c r="T92" s="374" t="s">
        <v>213</v>
      </c>
      <c r="U92" s="374" t="s">
        <v>159</v>
      </c>
      <c r="V92" s="458"/>
    </row>
    <row r="93" spans="1:22">
      <c r="A93" s="445" t="s">
        <v>385</v>
      </c>
      <c r="B93" s="446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50"/>
      <c r="V93" s="50">
        <f>SUM(C93:U93)</f>
        <v>0</v>
      </c>
    </row>
    <row r="94" spans="1:22">
      <c r="A94" s="447" t="s">
        <v>175</v>
      </c>
      <c r="B94" s="448"/>
      <c r="C94" s="48">
        <f>SUM(C93)</f>
        <v>0</v>
      </c>
      <c r="D94" s="48">
        <f t="shared" ref="D94:T94" si="49">SUM(D93)</f>
        <v>0</v>
      </c>
      <c r="E94" s="48">
        <f t="shared" si="49"/>
        <v>0</v>
      </c>
      <c r="F94" s="48">
        <f t="shared" si="49"/>
        <v>0</v>
      </c>
      <c r="G94" s="48">
        <f t="shared" si="49"/>
        <v>0</v>
      </c>
      <c r="H94" s="48">
        <f t="shared" si="49"/>
        <v>0</v>
      </c>
      <c r="I94" s="48">
        <f t="shared" si="49"/>
        <v>0</v>
      </c>
      <c r="J94" s="48">
        <f t="shared" si="49"/>
        <v>0</v>
      </c>
      <c r="K94" s="48">
        <f t="shared" si="49"/>
        <v>0</v>
      </c>
      <c r="L94" s="48">
        <f t="shared" si="49"/>
        <v>0</v>
      </c>
      <c r="M94" s="48">
        <f t="shared" si="49"/>
        <v>0</v>
      </c>
      <c r="N94" s="48">
        <f t="shared" si="49"/>
        <v>0</v>
      </c>
      <c r="O94" s="48">
        <f t="shared" si="49"/>
        <v>0</v>
      </c>
      <c r="P94" s="48">
        <f t="shared" si="49"/>
        <v>0</v>
      </c>
      <c r="Q94" s="48">
        <f t="shared" si="49"/>
        <v>0</v>
      </c>
      <c r="R94" s="48">
        <f t="shared" si="49"/>
        <v>0</v>
      </c>
      <c r="S94" s="48">
        <f t="shared" si="49"/>
        <v>0</v>
      </c>
      <c r="T94" s="48">
        <f t="shared" si="49"/>
        <v>0</v>
      </c>
      <c r="U94" s="48">
        <f>SUM(U93+U65)</f>
        <v>433845.1</v>
      </c>
      <c r="V94" s="48">
        <f>SUM(C94:U94)</f>
        <v>433845.1</v>
      </c>
    </row>
    <row r="95" spans="1:22">
      <c r="A95" s="445" t="s">
        <v>386</v>
      </c>
      <c r="B95" s="446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50">
        <f>SUM(C95:U95)</f>
        <v>0</v>
      </c>
    </row>
    <row r="96" spans="1:22">
      <c r="A96" s="447" t="s">
        <v>175</v>
      </c>
      <c r="B96" s="448"/>
      <c r="C96" s="48">
        <f>SUM(C95)</f>
        <v>0</v>
      </c>
      <c r="D96" s="48">
        <f t="shared" ref="D96:U96" si="50">SUM(D95)</f>
        <v>0</v>
      </c>
      <c r="E96" s="48">
        <f t="shared" si="50"/>
        <v>0</v>
      </c>
      <c r="F96" s="48">
        <f t="shared" si="50"/>
        <v>0</v>
      </c>
      <c r="G96" s="48">
        <f t="shared" si="50"/>
        <v>0</v>
      </c>
      <c r="H96" s="48">
        <f t="shared" si="50"/>
        <v>0</v>
      </c>
      <c r="I96" s="48">
        <f t="shared" si="50"/>
        <v>0</v>
      </c>
      <c r="J96" s="48">
        <f t="shared" si="50"/>
        <v>0</v>
      </c>
      <c r="K96" s="48">
        <f t="shared" si="50"/>
        <v>0</v>
      </c>
      <c r="L96" s="48">
        <f t="shared" si="50"/>
        <v>0</v>
      </c>
      <c r="M96" s="48">
        <f t="shared" si="50"/>
        <v>0</v>
      </c>
      <c r="N96" s="48">
        <f t="shared" si="50"/>
        <v>0</v>
      </c>
      <c r="O96" s="48">
        <f t="shared" si="50"/>
        <v>0</v>
      </c>
      <c r="P96" s="48">
        <f t="shared" si="50"/>
        <v>0</v>
      </c>
      <c r="Q96" s="48">
        <f t="shared" si="50"/>
        <v>0</v>
      </c>
      <c r="R96" s="48">
        <f t="shared" si="50"/>
        <v>0</v>
      </c>
      <c r="S96" s="48">
        <f t="shared" si="50"/>
        <v>0</v>
      </c>
      <c r="T96" s="48">
        <f t="shared" si="50"/>
        <v>0</v>
      </c>
      <c r="U96" s="48">
        <f t="shared" si="50"/>
        <v>0</v>
      </c>
      <c r="V96" s="48">
        <f>SUM(V95)</f>
        <v>0</v>
      </c>
    </row>
    <row r="97" spans="1:22">
      <c r="A97" s="445" t="s">
        <v>387</v>
      </c>
      <c r="B97" s="446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</row>
    <row r="98" spans="1:22">
      <c r="A98" s="447" t="s">
        <v>175</v>
      </c>
      <c r="B98" s="448"/>
      <c r="C98" s="48">
        <f>SUM(C97)</f>
        <v>0</v>
      </c>
      <c r="D98" s="48">
        <f t="shared" ref="D98:U98" si="51">SUM(D97)</f>
        <v>0</v>
      </c>
      <c r="E98" s="48">
        <f t="shared" si="51"/>
        <v>0</v>
      </c>
      <c r="F98" s="48">
        <f t="shared" si="51"/>
        <v>0</v>
      </c>
      <c r="G98" s="48">
        <f t="shared" si="51"/>
        <v>0</v>
      </c>
      <c r="H98" s="48">
        <f t="shared" si="51"/>
        <v>0</v>
      </c>
      <c r="I98" s="48">
        <f t="shared" si="51"/>
        <v>0</v>
      </c>
      <c r="J98" s="48">
        <f t="shared" si="51"/>
        <v>0</v>
      </c>
      <c r="K98" s="48">
        <f t="shared" si="51"/>
        <v>0</v>
      </c>
      <c r="L98" s="48">
        <f t="shared" si="51"/>
        <v>0</v>
      </c>
      <c r="M98" s="48">
        <f t="shared" si="51"/>
        <v>0</v>
      </c>
      <c r="N98" s="48">
        <f t="shared" si="51"/>
        <v>0</v>
      </c>
      <c r="O98" s="48">
        <f t="shared" si="51"/>
        <v>0</v>
      </c>
      <c r="P98" s="48">
        <f t="shared" si="51"/>
        <v>0</v>
      </c>
      <c r="Q98" s="48">
        <f t="shared" si="51"/>
        <v>0</v>
      </c>
      <c r="R98" s="48">
        <f t="shared" si="51"/>
        <v>0</v>
      </c>
      <c r="S98" s="48">
        <f t="shared" si="51"/>
        <v>0</v>
      </c>
      <c r="T98" s="48">
        <f t="shared" si="51"/>
        <v>0</v>
      </c>
      <c r="U98" s="48">
        <f t="shared" si="51"/>
        <v>0</v>
      </c>
      <c r="V98" s="48">
        <f>SUM(V97)</f>
        <v>0</v>
      </c>
    </row>
    <row r="99" spans="1:22">
      <c r="A99" s="445" t="s">
        <v>388</v>
      </c>
      <c r="B99" s="446"/>
      <c r="C99" s="49"/>
      <c r="D99" s="49"/>
      <c r="E99" s="49"/>
      <c r="F99" s="49">
        <v>0</v>
      </c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</row>
    <row r="100" spans="1:22">
      <c r="A100" s="447" t="s">
        <v>175</v>
      </c>
      <c r="B100" s="448"/>
      <c r="C100" s="48">
        <f>+C99</f>
        <v>0</v>
      </c>
      <c r="D100" s="48">
        <f t="shared" ref="D100:V100" si="52">+D99</f>
        <v>0</v>
      </c>
      <c r="E100" s="48">
        <f t="shared" si="52"/>
        <v>0</v>
      </c>
      <c r="F100" s="48">
        <f t="shared" si="52"/>
        <v>0</v>
      </c>
      <c r="G100" s="48">
        <f t="shared" si="52"/>
        <v>0</v>
      </c>
      <c r="H100" s="48">
        <f t="shared" si="52"/>
        <v>0</v>
      </c>
      <c r="I100" s="48">
        <f t="shared" si="52"/>
        <v>0</v>
      </c>
      <c r="J100" s="48">
        <f t="shared" si="52"/>
        <v>0</v>
      </c>
      <c r="K100" s="48">
        <f t="shared" si="52"/>
        <v>0</v>
      </c>
      <c r="L100" s="48">
        <f t="shared" si="52"/>
        <v>0</v>
      </c>
      <c r="M100" s="48">
        <f t="shared" si="52"/>
        <v>0</v>
      </c>
      <c r="N100" s="48">
        <f t="shared" si="52"/>
        <v>0</v>
      </c>
      <c r="O100" s="48">
        <f t="shared" si="52"/>
        <v>0</v>
      </c>
      <c r="P100" s="48">
        <f t="shared" si="52"/>
        <v>0</v>
      </c>
      <c r="Q100" s="48">
        <f t="shared" si="52"/>
        <v>0</v>
      </c>
      <c r="R100" s="48">
        <f t="shared" si="52"/>
        <v>0</v>
      </c>
      <c r="S100" s="48">
        <f t="shared" si="52"/>
        <v>0</v>
      </c>
      <c r="T100" s="48">
        <f t="shared" si="52"/>
        <v>0</v>
      </c>
      <c r="U100" s="48">
        <f t="shared" si="52"/>
        <v>0</v>
      </c>
      <c r="V100" s="48">
        <f t="shared" si="52"/>
        <v>0</v>
      </c>
    </row>
    <row r="101" spans="1:22">
      <c r="A101" s="445" t="s">
        <v>389</v>
      </c>
      <c r="B101" s="446"/>
      <c r="C101" s="49">
        <v>0</v>
      </c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>
        <f>SUM(F101:U101)</f>
        <v>0</v>
      </c>
    </row>
    <row r="102" spans="1:22">
      <c r="A102" s="447" t="s">
        <v>175</v>
      </c>
      <c r="B102" s="448"/>
      <c r="C102" s="48">
        <f>SUM(C101)</f>
        <v>0</v>
      </c>
      <c r="D102" s="48">
        <f t="shared" ref="D102:V102" si="53">SUM(D101)</f>
        <v>0</v>
      </c>
      <c r="E102" s="48">
        <f t="shared" si="53"/>
        <v>0</v>
      </c>
      <c r="F102" s="48">
        <f t="shared" si="53"/>
        <v>0</v>
      </c>
      <c r="G102" s="48">
        <f t="shared" si="53"/>
        <v>0</v>
      </c>
      <c r="H102" s="48">
        <f t="shared" si="53"/>
        <v>0</v>
      </c>
      <c r="I102" s="48">
        <f t="shared" si="53"/>
        <v>0</v>
      </c>
      <c r="J102" s="48">
        <f t="shared" si="53"/>
        <v>0</v>
      </c>
      <c r="K102" s="48">
        <f t="shared" si="53"/>
        <v>0</v>
      </c>
      <c r="L102" s="48">
        <f t="shared" si="53"/>
        <v>0</v>
      </c>
      <c r="M102" s="48">
        <f t="shared" si="53"/>
        <v>0</v>
      </c>
      <c r="N102" s="48">
        <f t="shared" si="53"/>
        <v>0</v>
      </c>
      <c r="O102" s="48">
        <f t="shared" si="53"/>
        <v>0</v>
      </c>
      <c r="P102" s="48">
        <f t="shared" si="53"/>
        <v>0</v>
      </c>
      <c r="Q102" s="48">
        <f t="shared" si="53"/>
        <v>0</v>
      </c>
      <c r="R102" s="48">
        <f t="shared" si="53"/>
        <v>0</v>
      </c>
      <c r="S102" s="48">
        <f t="shared" si="53"/>
        <v>0</v>
      </c>
      <c r="T102" s="48">
        <f t="shared" si="53"/>
        <v>0</v>
      </c>
      <c r="U102" s="48">
        <f t="shared" si="53"/>
        <v>0</v>
      </c>
      <c r="V102" s="48">
        <f t="shared" si="53"/>
        <v>0</v>
      </c>
    </row>
    <row r="103" spans="1:22">
      <c r="A103" s="445" t="s">
        <v>390</v>
      </c>
      <c r="B103" s="446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>
        <f>SUM(F103:U103)</f>
        <v>0</v>
      </c>
    </row>
    <row r="104" spans="1:22">
      <c r="A104" s="447" t="s">
        <v>175</v>
      </c>
      <c r="B104" s="448"/>
      <c r="C104" s="48">
        <f>SUM(C103)</f>
        <v>0</v>
      </c>
      <c r="D104" s="48">
        <f t="shared" ref="D104:V104" si="54">SUM(D103)</f>
        <v>0</v>
      </c>
      <c r="E104" s="48">
        <f t="shared" si="54"/>
        <v>0</v>
      </c>
      <c r="F104" s="48">
        <f t="shared" si="54"/>
        <v>0</v>
      </c>
      <c r="G104" s="48">
        <f t="shared" si="54"/>
        <v>0</v>
      </c>
      <c r="H104" s="48">
        <f t="shared" si="54"/>
        <v>0</v>
      </c>
      <c r="I104" s="48">
        <f t="shared" si="54"/>
        <v>0</v>
      </c>
      <c r="J104" s="48">
        <f t="shared" si="54"/>
        <v>0</v>
      </c>
      <c r="K104" s="48">
        <f t="shared" si="54"/>
        <v>0</v>
      </c>
      <c r="L104" s="48">
        <f t="shared" si="54"/>
        <v>0</v>
      </c>
      <c r="M104" s="48">
        <f t="shared" si="54"/>
        <v>0</v>
      </c>
      <c r="N104" s="48">
        <f t="shared" si="54"/>
        <v>0</v>
      </c>
      <c r="O104" s="48">
        <f t="shared" si="54"/>
        <v>0</v>
      </c>
      <c r="P104" s="48">
        <f t="shared" si="54"/>
        <v>0</v>
      </c>
      <c r="Q104" s="48">
        <f t="shared" si="54"/>
        <v>0</v>
      </c>
      <c r="R104" s="48">
        <f t="shared" si="54"/>
        <v>0</v>
      </c>
      <c r="S104" s="48">
        <f t="shared" si="54"/>
        <v>0</v>
      </c>
      <c r="T104" s="48">
        <f t="shared" si="54"/>
        <v>0</v>
      </c>
      <c r="U104" s="48">
        <f t="shared" si="54"/>
        <v>0</v>
      </c>
      <c r="V104" s="48">
        <f t="shared" si="54"/>
        <v>0</v>
      </c>
    </row>
    <row r="105" spans="1:22">
      <c r="A105" s="445" t="s">
        <v>391</v>
      </c>
      <c r="B105" s="446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</row>
    <row r="106" spans="1:22">
      <c r="A106" s="447" t="s">
        <v>175</v>
      </c>
      <c r="B106" s="448"/>
      <c r="C106" s="48">
        <f>SUM(C105)</f>
        <v>0</v>
      </c>
      <c r="D106" s="48">
        <f t="shared" ref="D106:V106" si="55">SUM(D105)</f>
        <v>0</v>
      </c>
      <c r="E106" s="48">
        <f t="shared" si="55"/>
        <v>0</v>
      </c>
      <c r="F106" s="48">
        <f t="shared" si="55"/>
        <v>0</v>
      </c>
      <c r="G106" s="48">
        <f t="shared" si="55"/>
        <v>0</v>
      </c>
      <c r="H106" s="48">
        <f t="shared" si="55"/>
        <v>0</v>
      </c>
      <c r="I106" s="48">
        <f t="shared" si="55"/>
        <v>0</v>
      </c>
      <c r="J106" s="48">
        <f t="shared" si="55"/>
        <v>0</v>
      </c>
      <c r="K106" s="48">
        <f t="shared" si="55"/>
        <v>0</v>
      </c>
      <c r="L106" s="48">
        <f t="shared" si="55"/>
        <v>0</v>
      </c>
      <c r="M106" s="48">
        <f t="shared" si="55"/>
        <v>0</v>
      </c>
      <c r="N106" s="48">
        <f t="shared" si="55"/>
        <v>0</v>
      </c>
      <c r="O106" s="48">
        <f t="shared" si="55"/>
        <v>0</v>
      </c>
      <c r="P106" s="48">
        <f t="shared" si="55"/>
        <v>0</v>
      </c>
      <c r="Q106" s="48">
        <f t="shared" si="55"/>
        <v>0</v>
      </c>
      <c r="R106" s="48">
        <f t="shared" si="55"/>
        <v>0</v>
      </c>
      <c r="S106" s="48">
        <f t="shared" si="55"/>
        <v>0</v>
      </c>
      <c r="T106" s="48">
        <f t="shared" si="55"/>
        <v>0</v>
      </c>
      <c r="U106" s="48">
        <f t="shared" si="55"/>
        <v>0</v>
      </c>
      <c r="V106" s="48">
        <f t="shared" si="55"/>
        <v>0</v>
      </c>
    </row>
    <row r="107" spans="1:22">
      <c r="A107" s="445" t="s">
        <v>392</v>
      </c>
      <c r="B107" s="446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>
        <v>141000</v>
      </c>
      <c r="U107" s="49"/>
      <c r="V107" s="49">
        <f>SUM(C107:U107)</f>
        <v>141000</v>
      </c>
    </row>
    <row r="108" spans="1:22">
      <c r="A108" s="447" t="s">
        <v>175</v>
      </c>
      <c r="B108" s="448"/>
      <c r="C108" s="48">
        <f>SUM(C107)</f>
        <v>0</v>
      </c>
      <c r="D108" s="48">
        <f t="shared" ref="D108:V108" si="56">SUM(D107)</f>
        <v>0</v>
      </c>
      <c r="E108" s="48">
        <f t="shared" si="56"/>
        <v>0</v>
      </c>
      <c r="F108" s="48">
        <f t="shared" si="56"/>
        <v>0</v>
      </c>
      <c r="G108" s="48">
        <f t="shared" si="56"/>
        <v>0</v>
      </c>
      <c r="H108" s="48">
        <f t="shared" si="56"/>
        <v>0</v>
      </c>
      <c r="I108" s="48">
        <f t="shared" si="56"/>
        <v>0</v>
      </c>
      <c r="J108" s="48">
        <f t="shared" si="56"/>
        <v>0</v>
      </c>
      <c r="K108" s="48">
        <f t="shared" si="56"/>
        <v>0</v>
      </c>
      <c r="L108" s="48">
        <f t="shared" si="56"/>
        <v>0</v>
      </c>
      <c r="M108" s="48">
        <f t="shared" si="56"/>
        <v>0</v>
      </c>
      <c r="N108" s="48">
        <f t="shared" si="56"/>
        <v>0</v>
      </c>
      <c r="O108" s="48">
        <f t="shared" si="56"/>
        <v>0</v>
      </c>
      <c r="P108" s="48">
        <f t="shared" si="56"/>
        <v>0</v>
      </c>
      <c r="Q108" s="48">
        <f t="shared" si="56"/>
        <v>0</v>
      </c>
      <c r="R108" s="48">
        <f t="shared" si="56"/>
        <v>0</v>
      </c>
      <c r="S108" s="48">
        <f t="shared" si="56"/>
        <v>0</v>
      </c>
      <c r="T108" s="48">
        <f t="shared" si="56"/>
        <v>141000</v>
      </c>
      <c r="U108" s="48">
        <f t="shared" si="56"/>
        <v>0</v>
      </c>
      <c r="V108" s="48">
        <f t="shared" si="56"/>
        <v>141000</v>
      </c>
    </row>
    <row r="109" spans="1:22">
      <c r="A109" s="445" t="s">
        <v>403</v>
      </c>
      <c r="B109" s="446"/>
      <c r="C109" s="49"/>
      <c r="D109" s="49"/>
      <c r="E109" s="49"/>
      <c r="F109" s="49"/>
      <c r="G109" s="49"/>
      <c r="H109" s="49"/>
      <c r="I109" s="49"/>
      <c r="J109" s="49"/>
      <c r="K109" s="49">
        <f>139000+492000+477500</f>
        <v>1108500</v>
      </c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>
        <f>SUM(C109:U109)</f>
        <v>1108500</v>
      </c>
    </row>
    <row r="110" spans="1:22">
      <c r="A110" s="447" t="s">
        <v>175</v>
      </c>
      <c r="B110" s="448"/>
      <c r="C110" s="48">
        <f>SUM(C109+C81)</f>
        <v>0</v>
      </c>
      <c r="D110" s="48">
        <f t="shared" ref="D110:V110" si="57">SUM(D109+D81)</f>
        <v>0</v>
      </c>
      <c r="E110" s="48">
        <f t="shared" si="57"/>
        <v>0</v>
      </c>
      <c r="F110" s="48">
        <f t="shared" si="57"/>
        <v>0</v>
      </c>
      <c r="G110" s="48">
        <f t="shared" si="57"/>
        <v>0</v>
      </c>
      <c r="H110" s="48">
        <f t="shared" si="57"/>
        <v>0</v>
      </c>
      <c r="I110" s="48">
        <f t="shared" si="57"/>
        <v>0</v>
      </c>
      <c r="J110" s="48">
        <f t="shared" si="57"/>
        <v>0</v>
      </c>
      <c r="K110" s="48">
        <f t="shared" si="57"/>
        <v>1108500</v>
      </c>
      <c r="L110" s="48">
        <f t="shared" si="57"/>
        <v>380121</v>
      </c>
      <c r="M110" s="48">
        <f t="shared" si="57"/>
        <v>0</v>
      </c>
      <c r="N110" s="48">
        <f t="shared" si="57"/>
        <v>0</v>
      </c>
      <c r="O110" s="48">
        <f t="shared" si="57"/>
        <v>0</v>
      </c>
      <c r="P110" s="48">
        <f t="shared" si="57"/>
        <v>0</v>
      </c>
      <c r="Q110" s="48">
        <f t="shared" si="57"/>
        <v>0</v>
      </c>
      <c r="R110" s="48">
        <f t="shared" si="57"/>
        <v>0</v>
      </c>
      <c r="S110" s="48">
        <f t="shared" si="57"/>
        <v>0</v>
      </c>
      <c r="T110" s="48">
        <f t="shared" si="57"/>
        <v>246700</v>
      </c>
      <c r="U110" s="48">
        <f t="shared" si="57"/>
        <v>0</v>
      </c>
      <c r="V110" s="48">
        <f t="shared" si="57"/>
        <v>1735321</v>
      </c>
    </row>
    <row r="111" spans="1:22">
      <c r="A111" s="445" t="s">
        <v>397</v>
      </c>
      <c r="B111" s="446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</row>
    <row r="112" spans="1:22">
      <c r="A112" s="447" t="s">
        <v>175</v>
      </c>
      <c r="B112" s="448"/>
      <c r="C112" s="48">
        <f>SUM(C111)</f>
        <v>0</v>
      </c>
      <c r="D112" s="48">
        <f t="shared" ref="D112:V112" si="58">SUM(D111)</f>
        <v>0</v>
      </c>
      <c r="E112" s="48">
        <f t="shared" si="58"/>
        <v>0</v>
      </c>
      <c r="F112" s="48">
        <f t="shared" si="58"/>
        <v>0</v>
      </c>
      <c r="G112" s="48">
        <f t="shared" si="58"/>
        <v>0</v>
      </c>
      <c r="H112" s="48">
        <f t="shared" si="58"/>
        <v>0</v>
      </c>
      <c r="I112" s="48">
        <f t="shared" si="58"/>
        <v>0</v>
      </c>
      <c r="J112" s="48">
        <f t="shared" si="58"/>
        <v>0</v>
      </c>
      <c r="K112" s="48">
        <f t="shared" si="58"/>
        <v>0</v>
      </c>
      <c r="L112" s="48">
        <f t="shared" si="58"/>
        <v>0</v>
      </c>
      <c r="M112" s="48">
        <f t="shared" si="58"/>
        <v>0</v>
      </c>
      <c r="N112" s="48">
        <f t="shared" si="58"/>
        <v>0</v>
      </c>
      <c r="O112" s="48">
        <f t="shared" si="58"/>
        <v>0</v>
      </c>
      <c r="P112" s="48">
        <f t="shared" si="58"/>
        <v>0</v>
      </c>
      <c r="Q112" s="48">
        <f t="shared" si="58"/>
        <v>0</v>
      </c>
      <c r="R112" s="48">
        <f t="shared" si="58"/>
        <v>0</v>
      </c>
      <c r="S112" s="48">
        <f t="shared" si="58"/>
        <v>0</v>
      </c>
      <c r="T112" s="48">
        <f t="shared" si="58"/>
        <v>0</v>
      </c>
      <c r="U112" s="48">
        <f t="shared" si="58"/>
        <v>0</v>
      </c>
      <c r="V112" s="48">
        <f t="shared" si="58"/>
        <v>0</v>
      </c>
    </row>
    <row r="113" spans="1:23">
      <c r="A113" s="445" t="s">
        <v>396</v>
      </c>
      <c r="B113" s="446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</row>
    <row r="114" spans="1:23">
      <c r="A114" s="447" t="s">
        <v>175</v>
      </c>
      <c r="B114" s="448"/>
      <c r="C114" s="48">
        <f>SUM(C113)</f>
        <v>0</v>
      </c>
      <c r="D114" s="48">
        <f t="shared" ref="D114:V114" si="59">SUM(D113)</f>
        <v>0</v>
      </c>
      <c r="E114" s="48">
        <f t="shared" si="59"/>
        <v>0</v>
      </c>
      <c r="F114" s="48">
        <f t="shared" si="59"/>
        <v>0</v>
      </c>
      <c r="G114" s="48">
        <f t="shared" si="59"/>
        <v>0</v>
      </c>
      <c r="H114" s="48">
        <f t="shared" si="59"/>
        <v>0</v>
      </c>
      <c r="I114" s="48">
        <f t="shared" si="59"/>
        <v>0</v>
      </c>
      <c r="J114" s="48">
        <f t="shared" si="59"/>
        <v>0</v>
      </c>
      <c r="K114" s="48">
        <f t="shared" si="59"/>
        <v>0</v>
      </c>
      <c r="L114" s="48">
        <f t="shared" si="59"/>
        <v>0</v>
      </c>
      <c r="M114" s="48">
        <f t="shared" si="59"/>
        <v>0</v>
      </c>
      <c r="N114" s="48">
        <f t="shared" si="59"/>
        <v>0</v>
      </c>
      <c r="O114" s="48">
        <f t="shared" si="59"/>
        <v>0</v>
      </c>
      <c r="P114" s="48">
        <f t="shared" si="59"/>
        <v>0</v>
      </c>
      <c r="Q114" s="48">
        <f t="shared" si="59"/>
        <v>0</v>
      </c>
      <c r="R114" s="48">
        <f t="shared" si="59"/>
        <v>0</v>
      </c>
      <c r="S114" s="48">
        <f t="shared" si="59"/>
        <v>0</v>
      </c>
      <c r="T114" s="48">
        <f t="shared" si="59"/>
        <v>0</v>
      </c>
      <c r="U114" s="48">
        <f t="shared" si="59"/>
        <v>0</v>
      </c>
      <c r="V114" s="48">
        <f t="shared" si="59"/>
        <v>0</v>
      </c>
    </row>
    <row r="115" spans="1:23">
      <c r="A115" s="449" t="s">
        <v>174</v>
      </c>
      <c r="B115" s="450"/>
      <c r="C115" s="46">
        <f>SUM(C93,C95,C97,C99,C101,C103,C105,C107,C109,C111,C113)</f>
        <v>0</v>
      </c>
      <c r="D115" s="46">
        <f>SUM(D93,D95,D97,D99,D101,D103,D105,D107,D109,D111,D113)</f>
        <v>0</v>
      </c>
      <c r="E115" s="46">
        <f t="shared" ref="E115:K115" si="60">SUM(E93,E95,E97,E99,E101,E103,E105,E107,E109,E111,E113)</f>
        <v>0</v>
      </c>
      <c r="F115" s="46">
        <f t="shared" si="60"/>
        <v>0</v>
      </c>
      <c r="G115" s="46">
        <f t="shared" si="60"/>
        <v>0</v>
      </c>
      <c r="H115" s="46">
        <f t="shared" si="60"/>
        <v>0</v>
      </c>
      <c r="I115" s="46">
        <f t="shared" si="60"/>
        <v>0</v>
      </c>
      <c r="J115" s="46">
        <f t="shared" si="60"/>
        <v>0</v>
      </c>
      <c r="K115" s="46">
        <f t="shared" si="60"/>
        <v>1108500</v>
      </c>
      <c r="L115" s="46">
        <f>SUM(L93,L95,L97,L99,L101,L103,L105,L107,L109,L111,L113)</f>
        <v>0</v>
      </c>
      <c r="M115" s="46">
        <f t="shared" ref="M115:U115" si="61">SUM(M93,M95,M97,M99,M101,M103,M105,M107,M109,M111,M113)</f>
        <v>0</v>
      </c>
      <c r="N115" s="46">
        <f t="shared" si="61"/>
        <v>0</v>
      </c>
      <c r="O115" s="46">
        <f t="shared" si="61"/>
        <v>0</v>
      </c>
      <c r="P115" s="46">
        <f t="shared" si="61"/>
        <v>0</v>
      </c>
      <c r="Q115" s="46">
        <f t="shared" si="61"/>
        <v>0</v>
      </c>
      <c r="R115" s="46">
        <f t="shared" si="61"/>
        <v>0</v>
      </c>
      <c r="S115" s="46">
        <f t="shared" si="61"/>
        <v>0</v>
      </c>
      <c r="T115" s="46">
        <f t="shared" si="61"/>
        <v>141000</v>
      </c>
      <c r="U115" s="46">
        <f t="shared" si="61"/>
        <v>0</v>
      </c>
      <c r="V115" s="46">
        <f>SUM(V93,V95,V97,V99,V101,V103,V105,V107,V109,V111,V113)</f>
        <v>1249500</v>
      </c>
    </row>
    <row r="116" spans="1:23">
      <c r="A116" s="449" t="s">
        <v>175</v>
      </c>
      <c r="B116" s="450"/>
      <c r="C116" s="46">
        <f>+C114+C112+C110+C108+C106+C104+C102+C100+C98+C96+C94</f>
        <v>0</v>
      </c>
      <c r="D116" s="46">
        <f t="shared" ref="D116:E116" si="62">+D114+D112+D110+D108+D106+D104+D102+D100+D98+D96+D94</f>
        <v>0</v>
      </c>
      <c r="E116" s="46">
        <f t="shared" si="62"/>
        <v>0</v>
      </c>
      <c r="F116" s="46">
        <f>+F114+F112+F110+F108+F106+F104+F102+F100+F98+F96+F94</f>
        <v>0</v>
      </c>
      <c r="G116" s="46">
        <f t="shared" ref="G116:K116" si="63">+G114+G112+G110+G108+G106+G104+G102+G100+G98+G96+G94</f>
        <v>0</v>
      </c>
      <c r="H116" s="46">
        <f t="shared" si="63"/>
        <v>0</v>
      </c>
      <c r="I116" s="46">
        <f t="shared" si="63"/>
        <v>0</v>
      </c>
      <c r="J116" s="46">
        <f t="shared" si="63"/>
        <v>0</v>
      </c>
      <c r="K116" s="46">
        <f t="shared" si="63"/>
        <v>1108500</v>
      </c>
      <c r="L116" s="46">
        <f>+L114+L112+L110+L108+L106+L104+L102+L100+L98+L96+L94</f>
        <v>380121</v>
      </c>
      <c r="M116" s="46">
        <f t="shared" ref="M116:U116" si="64">+M114+M112+M110+M108+M106+M104+M102+M100+M98+M96+M94</f>
        <v>0</v>
      </c>
      <c r="N116" s="46">
        <f t="shared" si="64"/>
        <v>0</v>
      </c>
      <c r="O116" s="46">
        <f t="shared" si="64"/>
        <v>0</v>
      </c>
      <c r="P116" s="46">
        <f t="shared" si="64"/>
        <v>0</v>
      </c>
      <c r="Q116" s="46">
        <f t="shared" si="64"/>
        <v>0</v>
      </c>
      <c r="R116" s="46">
        <f t="shared" si="64"/>
        <v>0</v>
      </c>
      <c r="S116" s="46">
        <f t="shared" si="64"/>
        <v>0</v>
      </c>
      <c r="T116" s="46">
        <f t="shared" si="64"/>
        <v>387700</v>
      </c>
      <c r="U116" s="46">
        <f t="shared" si="64"/>
        <v>433845.1</v>
      </c>
      <c r="V116" s="46">
        <f>+V114+V112+V110+V108+V106+V104+V102+V100+V98+V96+V94</f>
        <v>2310166.1</v>
      </c>
      <c r="W116" s="375">
        <f>+V87</f>
        <v>1060666.1000000001</v>
      </c>
    </row>
    <row r="118" spans="1:23">
      <c r="W118" s="375">
        <f>+W116+V115</f>
        <v>2310166.1</v>
      </c>
    </row>
  </sheetData>
  <mergeCells count="144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V59"/>
    <mergeCell ref="A60:V60"/>
    <mergeCell ref="A61:V61"/>
    <mergeCell ref="A62:B62"/>
    <mergeCell ref="C62:D62"/>
    <mergeCell ref="F62:G62"/>
    <mergeCell ref="H62:I62"/>
    <mergeCell ref="K62:M62"/>
    <mergeCell ref="O62:Q62"/>
    <mergeCell ref="R62:S62"/>
    <mergeCell ref="V62:V63"/>
    <mergeCell ref="A63:B63"/>
    <mergeCell ref="A1:V1"/>
    <mergeCell ref="A11:B11"/>
    <mergeCell ref="A12:B12"/>
    <mergeCell ref="A13:B13"/>
    <mergeCell ref="A14:B14"/>
    <mergeCell ref="A2:V2"/>
    <mergeCell ref="A3:V3"/>
    <mergeCell ref="A4:B4"/>
    <mergeCell ref="C4:D4"/>
    <mergeCell ref="F4:G4"/>
    <mergeCell ref="H4:I4"/>
    <mergeCell ref="K4:M4"/>
    <mergeCell ref="O4:Q4"/>
    <mergeCell ref="R4:S4"/>
    <mergeCell ref="V4:V5"/>
    <mergeCell ref="A5:B5"/>
    <mergeCell ref="A6:B6"/>
    <mergeCell ref="A7:B7"/>
    <mergeCell ref="A8:B8"/>
    <mergeCell ref="A9:B9"/>
    <mergeCell ref="A10:B10"/>
    <mergeCell ref="A29:B29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30:V30"/>
    <mergeCell ref="A31:V31"/>
    <mergeCell ref="A32:V32"/>
    <mergeCell ref="A33:B33"/>
    <mergeCell ref="C33:D33"/>
    <mergeCell ref="F33:G33"/>
    <mergeCell ref="H33:I33"/>
    <mergeCell ref="K33:M33"/>
    <mergeCell ref="O33:Q33"/>
    <mergeCell ref="R33:S33"/>
    <mergeCell ref="V33:V34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58:B58"/>
    <mergeCell ref="A50:B50"/>
    <mergeCell ref="A51:B51"/>
    <mergeCell ref="A52:B52"/>
    <mergeCell ref="A53:B53"/>
    <mergeCell ref="A54:B54"/>
    <mergeCell ref="A44:B44"/>
    <mergeCell ref="A45:B45"/>
    <mergeCell ref="A46:B46"/>
    <mergeCell ref="A47:B47"/>
    <mergeCell ref="A48:B48"/>
    <mergeCell ref="A49:B49"/>
    <mergeCell ref="A55:B55"/>
    <mergeCell ref="A56:B56"/>
    <mergeCell ref="A57:B57"/>
    <mergeCell ref="A88:V88"/>
    <mergeCell ref="A89:V89"/>
    <mergeCell ref="A90:V90"/>
    <mergeCell ref="A91:B91"/>
    <mergeCell ref="C91:D91"/>
    <mergeCell ref="F91:G91"/>
    <mergeCell ref="H91:I91"/>
    <mergeCell ref="K91:M91"/>
    <mergeCell ref="O91:Q91"/>
    <mergeCell ref="R91:S91"/>
    <mergeCell ref="V91:V92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11:B111"/>
    <mergeCell ref="A112:B112"/>
    <mergeCell ref="A113:B113"/>
    <mergeCell ref="A114:B114"/>
    <mergeCell ref="A115:B115"/>
    <mergeCell ref="A116:B116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</mergeCells>
  <phoneticPr fontId="2" type="noConversion"/>
  <pageMargins left="0.59055118110236227" right="0.19685039370078741" top="0.59055118110236227" bottom="0.39370078740157483" header="0.51181102362204722" footer="0.51181102362204722"/>
  <pageSetup paperSize="9" scale="110" orientation="landscape" r:id="rId1"/>
  <headerFooter alignWithMargins="0"/>
  <rowBreaks count="3" manualBreakCount="3">
    <brk id="29" max="21" man="1"/>
    <brk id="58" max="21" man="1"/>
    <brk id="87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I51"/>
  <sheetViews>
    <sheetView view="pageBreakPreview" zoomScaleSheetLayoutView="100" workbookViewId="0">
      <pane ySplit="5" topLeftCell="A27" activePane="bottomLeft" state="frozen"/>
      <selection pane="bottomLeft" activeCell="A47" sqref="A47"/>
    </sheetView>
  </sheetViews>
  <sheetFormatPr defaultRowHeight="24"/>
  <cols>
    <col min="1" max="1" width="48.5703125" style="199" customWidth="1"/>
    <col min="2" max="2" width="15.85546875" style="199" customWidth="1"/>
    <col min="3" max="3" width="17.85546875" style="199" customWidth="1"/>
    <col min="4" max="4" width="18.140625" style="199" customWidth="1"/>
    <col min="5" max="5" width="9.140625" style="199"/>
    <col min="6" max="6" width="10.42578125" style="199" bestFit="1" customWidth="1"/>
    <col min="7" max="7" width="12" style="199" customWidth="1"/>
    <col min="8" max="16384" width="9.140625" style="199"/>
  </cols>
  <sheetData>
    <row r="1" spans="1:9" s="200" customFormat="1">
      <c r="A1" s="463" t="s">
        <v>272</v>
      </c>
      <c r="B1" s="463"/>
      <c r="C1" s="463"/>
      <c r="D1" s="463"/>
      <c r="E1" s="201"/>
      <c r="F1" s="201"/>
      <c r="G1" s="201"/>
      <c r="H1" s="201"/>
      <c r="I1" s="201"/>
    </row>
    <row r="2" spans="1:9" s="200" customFormat="1">
      <c r="A2" s="463" t="s">
        <v>253</v>
      </c>
      <c r="B2" s="463"/>
      <c r="C2" s="463"/>
      <c r="D2" s="463"/>
      <c r="E2" s="201"/>
      <c r="F2" s="201"/>
      <c r="G2" s="201"/>
      <c r="H2" s="201"/>
      <c r="I2" s="201"/>
    </row>
    <row r="3" spans="1:9" s="200" customFormat="1">
      <c r="A3" s="463" t="s">
        <v>286</v>
      </c>
      <c r="B3" s="463"/>
      <c r="C3" s="463"/>
      <c r="D3" s="463"/>
      <c r="E3" s="201"/>
      <c r="F3" s="201"/>
      <c r="G3" s="201"/>
      <c r="H3" s="201"/>
      <c r="I3" s="201"/>
    </row>
    <row r="4" spans="1:9" s="200" customFormat="1">
      <c r="A4" s="461" t="s">
        <v>273</v>
      </c>
      <c r="B4" s="460" t="s">
        <v>274</v>
      </c>
      <c r="C4" s="460"/>
      <c r="D4" s="460"/>
    </row>
    <row r="5" spans="1:9" s="200" customFormat="1">
      <c r="A5" s="462"/>
      <c r="B5" s="202">
        <v>2554</v>
      </c>
      <c r="C5" s="202">
        <v>2555</v>
      </c>
      <c r="D5" s="202">
        <v>2556</v>
      </c>
    </row>
    <row r="6" spans="1:9">
      <c r="A6" s="207" t="s">
        <v>275</v>
      </c>
      <c r="B6" s="204"/>
      <c r="C6" s="204"/>
      <c r="D6" s="204"/>
    </row>
    <row r="7" spans="1:9">
      <c r="A7" s="208" t="s">
        <v>19</v>
      </c>
      <c r="B7" s="215">
        <v>136587.26</v>
      </c>
      <c r="C7" s="215">
        <v>181788.67</v>
      </c>
      <c r="D7" s="215">
        <v>194039.26</v>
      </c>
    </row>
    <row r="8" spans="1:9">
      <c r="A8" s="208" t="s">
        <v>232</v>
      </c>
      <c r="B8" s="215">
        <v>10417.74</v>
      </c>
      <c r="C8" s="215">
        <v>96161.4</v>
      </c>
      <c r="D8" s="215">
        <v>36884.400000000001</v>
      </c>
    </row>
    <row r="9" spans="1:9">
      <c r="A9" s="208" t="s">
        <v>21</v>
      </c>
      <c r="B9" s="215">
        <v>102995.08</v>
      </c>
      <c r="C9" s="215">
        <v>169077.32</v>
      </c>
      <c r="D9" s="215">
        <v>418963.65</v>
      </c>
    </row>
    <row r="10" spans="1:9">
      <c r="A10" s="208" t="s">
        <v>23</v>
      </c>
      <c r="B10" s="215">
        <v>281312.5</v>
      </c>
      <c r="C10" s="215">
        <v>273125</v>
      </c>
      <c r="D10" s="215">
        <v>289432.5</v>
      </c>
    </row>
    <row r="11" spans="1:9">
      <c r="A11" s="208" t="s">
        <v>20</v>
      </c>
      <c r="B11" s="215">
        <v>41460</v>
      </c>
      <c r="C11" s="215">
        <v>40700</v>
      </c>
      <c r="D11" s="215">
        <v>132689</v>
      </c>
    </row>
    <row r="12" spans="1:9">
      <c r="A12" s="208" t="s">
        <v>100</v>
      </c>
      <c r="B12" s="215">
        <v>0</v>
      </c>
      <c r="C12" s="215">
        <v>0</v>
      </c>
      <c r="D12" s="215">
        <v>0</v>
      </c>
    </row>
    <row r="13" spans="1:9">
      <c r="A13" s="208" t="s">
        <v>276</v>
      </c>
      <c r="B13" s="215">
        <v>12407652.109999999</v>
      </c>
      <c r="C13" s="215">
        <v>13148527.119999999</v>
      </c>
      <c r="D13" s="215">
        <v>15966940.390000001</v>
      </c>
    </row>
    <row r="14" spans="1:9">
      <c r="A14" s="208" t="s">
        <v>22</v>
      </c>
      <c r="B14" s="215">
        <v>14609838</v>
      </c>
      <c r="C14" s="215">
        <v>14359388</v>
      </c>
      <c r="D14" s="215">
        <v>15565538.09</v>
      </c>
    </row>
    <row r="15" spans="1:9" s="200" customFormat="1">
      <c r="A15" s="209" t="s">
        <v>17</v>
      </c>
      <c r="B15" s="217">
        <f t="shared" ref="B15:C15" si="0">SUM(B7:B14)</f>
        <v>27590262.689999998</v>
      </c>
      <c r="C15" s="217">
        <f t="shared" si="0"/>
        <v>28268767.509999998</v>
      </c>
      <c r="D15" s="217">
        <f>SUM(D7:D14)</f>
        <v>32604487.289999999</v>
      </c>
    </row>
    <row r="16" spans="1:9">
      <c r="A16" s="211" t="s">
        <v>277</v>
      </c>
      <c r="B16" s="204"/>
      <c r="C16" s="204"/>
      <c r="D16" s="204"/>
    </row>
    <row r="17" spans="1:4">
      <c r="A17" s="212" t="s">
        <v>278</v>
      </c>
      <c r="B17" s="215">
        <f>70000+7672290-13-264.4-75000-57000</f>
        <v>7610012.5999999996</v>
      </c>
      <c r="C17" s="215">
        <f>10000+11264708.59-32672.94</f>
        <v>11242035.65</v>
      </c>
      <c r="D17" s="215">
        <f>21800+11712263.02-7704</f>
        <v>11726359.02</v>
      </c>
    </row>
    <row r="18" spans="1:4">
      <c r="A18" s="212"/>
      <c r="B18" s="206"/>
      <c r="C18" s="206"/>
      <c r="D18" s="206"/>
    </row>
    <row r="19" spans="1:4" s="200" customFormat="1">
      <c r="A19" s="202" t="s">
        <v>17</v>
      </c>
      <c r="B19" s="217">
        <f t="shared" ref="B19:C19" si="1">+B17</f>
        <v>7610012.5999999996</v>
      </c>
      <c r="C19" s="217">
        <f t="shared" si="1"/>
        <v>11242035.65</v>
      </c>
      <c r="D19" s="217">
        <f>+D17</f>
        <v>11726359.02</v>
      </c>
    </row>
    <row r="20" spans="1:4" s="200" customFormat="1">
      <c r="A20" s="202" t="s">
        <v>279</v>
      </c>
      <c r="B20" s="217">
        <f t="shared" ref="B20:C20" si="2">+B19+B15</f>
        <v>35200275.289999999</v>
      </c>
      <c r="C20" s="217">
        <f t="shared" si="2"/>
        <v>39510803.159999996</v>
      </c>
      <c r="D20" s="217">
        <f>+D19+D15</f>
        <v>44330846.310000002</v>
      </c>
    </row>
    <row r="21" spans="1:4">
      <c r="A21" s="211" t="s">
        <v>280</v>
      </c>
      <c r="B21" s="204"/>
      <c r="C21" s="204"/>
      <c r="D21" s="204"/>
    </row>
    <row r="22" spans="1:4">
      <c r="A22" s="212" t="s">
        <v>11</v>
      </c>
      <c r="B22" s="215">
        <v>1294776</v>
      </c>
      <c r="C22" s="215">
        <v>815254.16</v>
      </c>
      <c r="D22" s="215">
        <v>1052868</v>
      </c>
    </row>
    <row r="23" spans="1:4">
      <c r="A23" s="212" t="s">
        <v>281</v>
      </c>
      <c r="B23" s="215">
        <f>1612602.85+2925322.13</f>
        <v>4537924.9800000004</v>
      </c>
      <c r="C23" s="215">
        <f>2746828+2927229.11</f>
        <v>5674057.1099999994</v>
      </c>
      <c r="D23" s="215">
        <f>2250548+2713528.31</f>
        <v>4964076.3100000005</v>
      </c>
    </row>
    <row r="24" spans="1:4">
      <c r="A24" s="212" t="s">
        <v>3</v>
      </c>
      <c r="B24" s="215">
        <v>270000</v>
      </c>
      <c r="C24" s="215">
        <v>287760</v>
      </c>
      <c r="D24" s="215">
        <v>313695</v>
      </c>
    </row>
    <row r="25" spans="1:4">
      <c r="A25" s="212" t="s">
        <v>4</v>
      </c>
      <c r="B25" s="215">
        <v>872207.96</v>
      </c>
      <c r="C25" s="215">
        <v>1413058.37</v>
      </c>
      <c r="D25" s="215">
        <v>1851857.14</v>
      </c>
    </row>
    <row r="26" spans="1:4">
      <c r="A26" s="212" t="s">
        <v>5</v>
      </c>
      <c r="B26" s="215">
        <v>1836181.5</v>
      </c>
      <c r="C26" s="215">
        <v>1590820</v>
      </c>
      <c r="D26" s="215">
        <v>648183.5</v>
      </c>
    </row>
    <row r="27" spans="1:4">
      <c r="A27" s="212" t="s">
        <v>6</v>
      </c>
      <c r="B27" s="215">
        <v>1763893.26</v>
      </c>
      <c r="C27" s="215">
        <v>2673375.86</v>
      </c>
      <c r="D27" s="215">
        <v>4013487.1</v>
      </c>
    </row>
    <row r="28" spans="1:4">
      <c r="A28" s="212" t="s">
        <v>7</v>
      </c>
      <c r="B28" s="215">
        <v>2395429.13</v>
      </c>
      <c r="C28" s="215">
        <v>2954430</v>
      </c>
      <c r="D28" s="215">
        <v>3315073.5</v>
      </c>
    </row>
    <row r="29" spans="1:4">
      <c r="A29" s="212" t="s">
        <v>8</v>
      </c>
      <c r="B29" s="215">
        <v>558455.31999999995</v>
      </c>
      <c r="C29" s="215">
        <v>693068.52</v>
      </c>
      <c r="D29" s="215">
        <v>869916.65</v>
      </c>
    </row>
    <row r="30" spans="1:4">
      <c r="A30" s="212" t="s">
        <v>13</v>
      </c>
      <c r="B30" s="215">
        <v>2128600</v>
      </c>
      <c r="C30" s="215">
        <v>2512200</v>
      </c>
      <c r="D30" s="215">
        <v>2586600</v>
      </c>
    </row>
    <row r="31" spans="1:4">
      <c r="A31" s="212" t="s">
        <v>9</v>
      </c>
      <c r="B31" s="215">
        <v>1617395</v>
      </c>
      <c r="C31" s="215">
        <v>447710</v>
      </c>
      <c r="D31" s="215">
        <v>400472</v>
      </c>
    </row>
    <row r="32" spans="1:4">
      <c r="A32" s="212" t="s">
        <v>10</v>
      </c>
      <c r="B32" s="215">
        <v>3348519</v>
      </c>
      <c r="C32" s="215">
        <v>3292935.5</v>
      </c>
      <c r="D32" s="215">
        <v>5461540</v>
      </c>
    </row>
    <row r="33" spans="1:7">
      <c r="A33" s="212" t="s">
        <v>12</v>
      </c>
      <c r="B33" s="215">
        <v>858450</v>
      </c>
      <c r="C33" s="215">
        <v>25000</v>
      </c>
      <c r="D33" s="215">
        <v>25000</v>
      </c>
    </row>
    <row r="34" spans="1:7" s="200" customFormat="1">
      <c r="A34" s="209" t="s">
        <v>17</v>
      </c>
      <c r="B34" s="216">
        <f t="shared" ref="B34:C34" si="3">SUM(B22:B33)</f>
        <v>21481832.150000002</v>
      </c>
      <c r="C34" s="216">
        <f t="shared" si="3"/>
        <v>22379669.52</v>
      </c>
      <c r="D34" s="216">
        <f>SUM(D22:D33)</f>
        <v>25502769.199999999</v>
      </c>
    </row>
    <row r="35" spans="1:7" s="200" customFormat="1">
      <c r="A35" s="202" t="s">
        <v>282</v>
      </c>
      <c r="B35" s="210"/>
      <c r="C35" s="210"/>
      <c r="D35" s="216"/>
    </row>
    <row r="36" spans="1:7">
      <c r="A36" s="212" t="s">
        <v>278</v>
      </c>
      <c r="B36" s="215">
        <f>565535.6+40000+41700+30000+6932777</f>
        <v>7610012.5999999996</v>
      </c>
      <c r="C36" s="215">
        <f>10146963.84+921486.12+50672+10000+112913.69</f>
        <v>11242035.649999999</v>
      </c>
      <c r="D36" s="215">
        <f>10210200+600000+450000+9298+67300+338047+51514.02</f>
        <v>11726359.02</v>
      </c>
      <c r="E36" s="220">
        <f>+B36-B17</f>
        <v>0</v>
      </c>
      <c r="F36" s="220">
        <f t="shared" ref="F36:G36" si="4">+C36-C17</f>
        <v>0</v>
      </c>
      <c r="G36" s="220">
        <f t="shared" si="4"/>
        <v>0</v>
      </c>
    </row>
    <row r="37" spans="1:7">
      <c r="A37" s="203"/>
      <c r="B37" s="205"/>
      <c r="C37" s="205"/>
      <c r="D37" s="215"/>
    </row>
    <row r="38" spans="1:7" s="200" customFormat="1">
      <c r="A38" s="213" t="s">
        <v>17</v>
      </c>
      <c r="B38" s="216">
        <f t="shared" ref="B38:C38" si="5">SUM(B36:B37)</f>
        <v>7610012.5999999996</v>
      </c>
      <c r="C38" s="216">
        <f t="shared" si="5"/>
        <v>11242035.649999999</v>
      </c>
      <c r="D38" s="216">
        <f>SUM(D36:D37)</f>
        <v>11726359.02</v>
      </c>
    </row>
    <row r="39" spans="1:7" s="200" customFormat="1">
      <c r="A39" s="214" t="s">
        <v>283</v>
      </c>
      <c r="B39" s="216">
        <f t="shared" ref="B39:C39" si="6">+B34+B38</f>
        <v>29091844.75</v>
      </c>
      <c r="C39" s="216">
        <f t="shared" si="6"/>
        <v>33621705.170000002</v>
      </c>
      <c r="D39" s="216">
        <f>+D34+D38</f>
        <v>37229128.219999999</v>
      </c>
    </row>
    <row r="40" spans="1:7" s="200" customFormat="1" ht="24.75" customHeight="1">
      <c r="A40" s="213" t="s">
        <v>284</v>
      </c>
      <c r="B40" s="216">
        <v>23817074.079999998</v>
      </c>
      <c r="C40" s="216">
        <v>25026518.34</v>
      </c>
      <c r="D40" s="216">
        <v>26871613.050000001</v>
      </c>
      <c r="F40" s="218"/>
    </row>
    <row r="44" spans="1:7">
      <c r="B44" s="199" t="s">
        <v>293</v>
      </c>
    </row>
    <row r="45" spans="1:7">
      <c r="B45" s="222" t="s">
        <v>292</v>
      </c>
      <c r="C45" s="222"/>
    </row>
    <row r="46" spans="1:7">
      <c r="B46" s="221" t="s">
        <v>287</v>
      </c>
      <c r="C46" s="219"/>
    </row>
    <row r="47" spans="1:7">
      <c r="B47" s="221" t="s">
        <v>294</v>
      </c>
      <c r="C47" s="219"/>
    </row>
    <row r="48" spans="1:7">
      <c r="B48" s="219"/>
      <c r="C48" s="219"/>
    </row>
    <row r="50" spans="2:3">
      <c r="B50" s="199" t="s">
        <v>285</v>
      </c>
    </row>
    <row r="51" spans="2:3">
      <c r="B51" s="459" t="s">
        <v>236</v>
      </c>
      <c r="C51" s="459"/>
    </row>
  </sheetData>
  <mergeCells count="6">
    <mergeCell ref="B51:C51"/>
    <mergeCell ref="B4:D4"/>
    <mergeCell ref="A4:A5"/>
    <mergeCell ref="A1:D1"/>
    <mergeCell ref="A2:D2"/>
    <mergeCell ref="A3:D3"/>
  </mergeCells>
  <pageMargins left="0.70866141732283472" right="0.51181102362204722" top="0.74803149606299213" bottom="0.74803149606299213" header="0.31496062992125984" footer="0.31496062992125984"/>
  <pageSetup scale="93" orientation="portrait" r:id="rId1"/>
  <headerFooter>
    <oddHeader>&amp;C&amp;P</oddHeader>
  </headerFooter>
  <rowBreaks count="1" manualBreakCount="1">
    <brk id="3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16</vt:i4>
      </vt:variant>
    </vt:vector>
  </HeadingPairs>
  <TitlesOfParts>
    <vt:vector size="26" baseType="lpstr">
      <vt:lpstr>งบดุลบัญชี</vt:lpstr>
      <vt:lpstr>รับ-จ่ายเงิน</vt:lpstr>
      <vt:lpstr>งบทดลอง</vt:lpstr>
      <vt:lpstr>หมายเหตุ1 ประกอบงบ</vt:lpstr>
      <vt:lpstr>หมายเหตุ 2, 3 ประกอบงบ</vt:lpstr>
      <vt:lpstr>กระดาษทำการกระทบยอด</vt:lpstr>
      <vt:lpstr>กระดาษทำการเงินกู้</vt:lpstr>
      <vt:lpstr>โอนงบ</vt:lpstr>
      <vt:lpstr>กระทบยอดเงินสะสม</vt:lpstr>
      <vt:lpstr>แบบแสดงฐานะการคลัง</vt:lpstr>
      <vt:lpstr>กระดาษทำการกระทบยอด!Print_Area</vt:lpstr>
      <vt:lpstr>กระดาษทำการเงินกู้!Print_Area</vt:lpstr>
      <vt:lpstr>กระทบยอดเงินสะสม!Print_Area</vt:lpstr>
      <vt:lpstr>งบดุลบัญชี!Print_Area</vt:lpstr>
      <vt:lpstr>งบทดลอง!Print_Area</vt:lpstr>
      <vt:lpstr>แบบแสดงฐานะการคลัง!Print_Area</vt:lpstr>
      <vt:lpstr>'รับ-จ่ายเงิน'!Print_Area</vt:lpstr>
      <vt:lpstr>'หมายเหตุ 2, 3 ประกอบงบ'!Print_Area</vt:lpstr>
      <vt:lpstr>'หมายเหตุ1 ประกอบงบ'!Print_Area</vt:lpstr>
      <vt:lpstr>โอนงบ!Print_Area</vt:lpstr>
      <vt:lpstr>กระดาษทำการกระทบยอด!Print_Titles</vt:lpstr>
      <vt:lpstr>กระดาษทำการเงินกู้!Print_Titles</vt:lpstr>
      <vt:lpstr>งบดุลบัญชี!Print_Titles</vt:lpstr>
      <vt:lpstr>แบบแสดงฐานะการคลัง!Print_Titles</vt:lpstr>
      <vt:lpstr>'รับ-จ่ายเงิน'!Print_Titles</vt:lpstr>
      <vt:lpstr>โอนงบ!Print_Titles</vt:lpstr>
    </vt:vector>
  </TitlesOfParts>
  <Company>XP2008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User</dc:creator>
  <cp:lastModifiedBy>Mr.KKD</cp:lastModifiedBy>
  <cp:lastPrinted>2016-03-09T06:16:30Z</cp:lastPrinted>
  <dcterms:created xsi:type="dcterms:W3CDTF">2009-10-28T06:19:19Z</dcterms:created>
  <dcterms:modified xsi:type="dcterms:W3CDTF">2016-03-09T06:16:40Z</dcterms:modified>
</cp:coreProperties>
</file>